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'5.kiadás'!$A$4:$E$235</definedName>
    <definedName name="_xlnm.Print_Titles" localSheetId="1">'2. Bevétel funkció'!$1:$6</definedName>
    <definedName name="_xlnm.Print_Titles" localSheetId="2">'3.Bevétel jogcím'!$1:$6</definedName>
    <definedName name="_xlnm.Print_Titles" localSheetId="4">'5.kiadás'!$1:$6</definedName>
    <definedName name="_xlnm.Print_Area" localSheetId="1">'2. Bevétel funkció'!$A$1:$F$112</definedName>
    <definedName name="_xlnm.Print_Area" localSheetId="2">'3.Bevétel jogcím'!$A$1:$G$74</definedName>
    <definedName name="_xlnm.Print_Area" localSheetId="4">'5.kiadás'!$A$1:$G$447</definedName>
  </definedNames>
  <calcPr fullCalcOnLoad="1"/>
</workbook>
</file>

<file path=xl/sharedStrings.xml><?xml version="1.0" encoding="utf-8"?>
<sst xmlns="http://schemas.openxmlformats.org/spreadsheetml/2006/main" count="1232" uniqueCount="396">
  <si>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</si>
  <si>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</si>
  <si>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</si>
  <si>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</si>
  <si>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</si>
  <si>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</si>
  <si>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</si>
  <si>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</si>
  <si>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</si>
  <si>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</si>
  <si>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</si>
  <si>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</si>
  <si>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</si>
  <si>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</si>
  <si>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</si>
  <si>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</si>
  <si>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</si>
  <si>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</si>
  <si>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</si>
  <si>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</si>
  <si>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</si>
  <si>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</si>
  <si>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</si>
  <si>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</si>
  <si>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</si>
  <si>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</si>
  <si>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</si>
  <si>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</si>
  <si>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</si>
  <si>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</si>
  <si>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</si>
  <si>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</si>
  <si>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</si>
  <si>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</si>
  <si>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</si>
  <si>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</si>
  <si>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</si>
  <si>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</si>
  <si>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</si>
  <si>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</si>
  <si>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</si>
  <si>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</si>
  <si>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</si>
  <si>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</si>
  <si>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</si>
  <si>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</si>
  <si>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</si>
  <si>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</si>
  <si>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</si>
  <si>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</si>
  <si>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</si>
  <si>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</si>
  <si>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</si>
  <si>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</si>
  <si>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</si>
  <si>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</si>
  <si>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</si>
  <si>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</si>
  <si>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</si>
  <si>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</si>
  <si>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</si>
  <si>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</si>
  <si>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</si>
  <si>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</si>
  <si>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</si>
  <si>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</si>
  <si>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</si>
  <si>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</si>
  <si>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</si>
  <si>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</si>
  <si>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</si>
  <si>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</si>
  <si>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</si>
  <si>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</si>
  <si>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</si>
  <si>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</si>
  <si>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</si>
  <si>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</si>
  <si>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</si>
  <si>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</si>
  <si>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</si>
  <si>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</si>
  <si>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</si>
  <si>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</si>
  <si>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</si>
  <si>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</si>
  <si>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</si>
  <si>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</si>
  <si>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</si>
  <si>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</si>
  <si>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 xml:space="preserve">B114 </t>
  </si>
  <si>
    <t>Települési önkormányzatok kulturális feladatainak támogatása</t>
  </si>
  <si>
    <t>B21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</si>
  <si>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</si>
  <si>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</si>
  <si>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</si>
  <si>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</si>
  <si>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</si>
  <si>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</si>
  <si>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</si>
  <si>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</si>
  <si>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</si>
  <si>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</si>
  <si>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</si>
  <si>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</si>
  <si>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</si>
  <si>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</si>
  <si>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</si>
  <si>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</si>
  <si>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</si>
  <si>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</si>
  <si>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</si>
  <si>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</si>
  <si>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</si>
  <si>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</si>
  <si>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</si>
  <si>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</si>
  <si>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</si>
  <si>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</si>
  <si>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</si>
  <si>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Települési önkormányzatok egyes köznevelési feladatainak támogatása</t>
  </si>
  <si>
    <t xml:space="preserve">Települési önk szociális,gyermekjóléti és gyermekétkeztetési feladat. </t>
  </si>
  <si>
    <t xml:space="preserve">     Önkormányzatok támogatása óvodai ellátáshoz</t>
  </si>
  <si>
    <t>Egyéb felhalmozási célú támogatások</t>
  </si>
  <si>
    <t>B361</t>
  </si>
  <si>
    <t>Közvetített szolgáltatások ellenértéke (Továbbszámlázott)</t>
  </si>
  <si>
    <t>Készletértékesítés ellenértéke (Tourinform)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</si>
  <si>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</si>
  <si>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</si>
  <si>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</si>
  <si>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</si>
  <si>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</si>
  <si>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</si>
  <si>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</si>
  <si>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</si>
  <si>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</si>
  <si>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</si>
  <si>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</si>
  <si>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</si>
  <si>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</si>
  <si>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</si>
  <si>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</si>
  <si>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</si>
  <si>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</si>
  <si>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</si>
  <si>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</si>
  <si>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</si>
  <si>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</si>
  <si>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</si>
  <si>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</si>
  <si>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</si>
  <si>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</si>
  <si>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</si>
  <si>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</si>
  <si>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</si>
  <si>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</si>
  <si>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</si>
  <si>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</si>
  <si>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</si>
  <si>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</si>
  <si>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</si>
  <si>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</si>
  <si>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</si>
  <si>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</si>
  <si>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</si>
  <si>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</si>
  <si>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</si>
  <si>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</si>
  <si>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</si>
  <si>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</si>
  <si>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</si>
  <si>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</si>
  <si>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</si>
  <si>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</si>
  <si>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</si>
  <si>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</si>
  <si>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</si>
  <si>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</si>
  <si>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</si>
  <si>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</si>
  <si>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</si>
  <si>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</si>
  <si>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</si>
  <si>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</si>
  <si>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</si>
  <si>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</si>
  <si>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</si>
  <si>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</si>
  <si>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</si>
  <si>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</si>
  <si>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</si>
  <si>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</si>
  <si>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</si>
  <si>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</si>
  <si>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</si>
  <si>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</si>
  <si>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</si>
  <si>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</si>
  <si>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</si>
  <si>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</si>
  <si>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</si>
  <si>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K506</t>
  </si>
  <si>
    <t>K512</t>
  </si>
  <si>
    <t>Egyéb működési célú támogatások államháztartáson kívülre</t>
  </si>
  <si>
    <t>K513</t>
  </si>
  <si>
    <t>Tartalékok</t>
  </si>
  <si>
    <t>K65</t>
  </si>
  <si>
    <t>Elmib részvény vásárlás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</si>
  <si>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</si>
  <si>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</si>
  <si>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</si>
  <si>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</si>
  <si>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</si>
  <si>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Állami támogatás</t>
  </si>
  <si>
    <t>Társult önkormányzatok támogatása</t>
  </si>
  <si>
    <t>Révfülöp önkormányzat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</si>
  <si>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</si>
  <si>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</si>
  <si>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</si>
  <si>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</si>
  <si>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</si>
  <si>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</si>
  <si>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</si>
  <si>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</si>
  <si>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</si>
  <si>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</si>
  <si>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</si>
  <si>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</si>
  <si>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</si>
  <si>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</si>
  <si>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</si>
  <si>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</si>
  <si>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</si>
  <si>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</si>
  <si>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</si>
  <si>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</si>
  <si>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</si>
  <si>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</si>
  <si>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K313</t>
  </si>
  <si>
    <t>Árubeszerzés</t>
  </si>
  <si>
    <t>K342</t>
  </si>
  <si>
    <t>Reklám és propaganda kiadások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</si>
  <si>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</si>
  <si>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</si>
  <si>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</si>
  <si>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</si>
  <si>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</si>
  <si>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</si>
  <si>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</si>
  <si>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072111   Háziorvosi alapellátás</t>
  </si>
  <si>
    <t>072112   Háziorvosi ügyeleti ellátás</t>
  </si>
  <si>
    <t>K1110</t>
  </si>
  <si>
    <t>Egyéb költségtérítések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</si>
  <si>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</si>
  <si>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</si>
  <si>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</si>
  <si>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</si>
  <si>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</si>
  <si>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086030 Nemzetközi kulturális együttműködés</t>
  </si>
  <si>
    <t>Testvér városi-települési kiadások</t>
  </si>
  <si>
    <t>Ellátottak juttatásai</t>
  </si>
  <si>
    <t>107052   Házi segítségnyújtás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</si>
  <si>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</si>
  <si>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</si>
  <si>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</si>
  <si>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</si>
  <si>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</si>
  <si>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</si>
  <si>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</si>
  <si>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</si>
  <si>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</si>
  <si>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</si>
  <si>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</si>
  <si>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</si>
  <si>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</si>
  <si>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</si>
  <si>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</si>
  <si>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</si>
  <si>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</si>
  <si>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</si>
  <si>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</si>
  <si>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</si>
  <si>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</si>
  <si>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</si>
  <si>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</si>
  <si>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</si>
  <si>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</si>
  <si>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</si>
  <si>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</si>
  <si>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</si>
  <si>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</si>
  <si>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</si>
  <si>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</si>
  <si>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Tájékoztató adatok a MŰKÖDÉSI bevételek és kiadások alakulásáról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</si>
  <si>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</si>
  <si>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</si>
  <si>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</si>
  <si>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</si>
  <si>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</si>
  <si>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</si>
  <si>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</si>
  <si>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</si>
  <si>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</si>
  <si>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</si>
  <si>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</si>
  <si>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</si>
  <si>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</si>
  <si>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</si>
  <si>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</si>
  <si>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</si>
  <si>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</si>
  <si>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</si>
  <si>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</si>
  <si>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</si>
  <si>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</si>
  <si>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</si>
  <si>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</si>
  <si>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>Normatív jutalom</t>
  </si>
  <si>
    <t>047120 Piac üzemeltetés</t>
  </si>
  <si>
    <t>ELMIB részvény vásárlás(önkorm.igazgatás)</t>
  </si>
  <si>
    <t>Egyéb tárgyi eszközök beszerzése</t>
  </si>
  <si>
    <t>K64</t>
  </si>
  <si>
    <t>047120   Piac üzemeltetés, fenntartás</t>
  </si>
  <si>
    <t>047120    Piac üzemeltetése, fenntartása</t>
  </si>
  <si>
    <t>Jutalom</t>
  </si>
  <si>
    <t>NEAK támogatás</t>
  </si>
  <si>
    <t xml:space="preserve">      NEAK támogatás védőnői szolgálat működéséhez</t>
  </si>
  <si>
    <t>Egyéb működési célú támogatás Önkormányzatnak</t>
  </si>
  <si>
    <t>Támogatás célú működési kiadás Közös Hivatalhoz</t>
  </si>
  <si>
    <t>Működési célú pénzeszköz átadás Tapolca Társulás</t>
  </si>
  <si>
    <t>Működési célú pénzeszköz átadás ,óvodai-iskolai busz bejárás támogatás</t>
  </si>
  <si>
    <t>Révfülöpi Óvoda Társulás támogatása</t>
  </si>
  <si>
    <t>Egyéb működési célú támogatás áh belülre Társulásnak</t>
  </si>
  <si>
    <t>Túlóra</t>
  </si>
  <si>
    <t>062020 Településfejlesztési projektek és támogatásuk</t>
  </si>
  <si>
    <t xml:space="preserve">Egyéb működési célú támogatások </t>
  </si>
  <si>
    <t xml:space="preserve">Foglalkoztatottak személyi juttatása </t>
  </si>
  <si>
    <t>062020    Területfejlesztési projektek és támogatások</t>
  </si>
  <si>
    <t>Eszköz beszerzés strand  (pályázat)</t>
  </si>
  <si>
    <t>B407</t>
  </si>
  <si>
    <t>B75</t>
  </si>
  <si>
    <t>Egyéb felhalmozási célú átvett pénzeszközök</t>
  </si>
  <si>
    <t>Általános forgalmi adó visszatérítése</t>
  </si>
  <si>
    <t>042120 Mezőgazdasági támogatások</t>
  </si>
  <si>
    <t>Zártkerti pályázat</t>
  </si>
  <si>
    <t>042120    Mezőgazdasági támogatások</t>
  </si>
  <si>
    <t>042120   Mezőgazdasági támogatások</t>
  </si>
  <si>
    <t>Ingatlan beszerzése, létesítése (Halász u. járdaépítés )</t>
  </si>
  <si>
    <t>Halász utca járdaépítés</t>
  </si>
  <si>
    <t>Fülöp-hegyi kilátó felújítás</t>
  </si>
  <si>
    <t xml:space="preserve">Ingatlanok felújítása </t>
  </si>
  <si>
    <t>K355</t>
  </si>
  <si>
    <t>Egyéb dologi kiadások</t>
  </si>
  <si>
    <t>Települési önk. Szociális feladatainek támogatása</t>
  </si>
  <si>
    <t>Intézményi gyermekétkeztetés támogatása</t>
  </si>
  <si>
    <t>B1132</t>
  </si>
  <si>
    <t>B1131</t>
  </si>
  <si>
    <t>066020 Város és községgazdálkodás</t>
  </si>
  <si>
    <t>B410</t>
  </si>
  <si>
    <t>Biztosító által fizetett kártérítés</t>
  </si>
  <si>
    <t>Tornaszoba kialakítása</t>
  </si>
  <si>
    <t>2021. évi költségvetés bevételei</t>
  </si>
  <si>
    <t xml:space="preserve">2021. évi költségvetés összevont mérlege </t>
  </si>
  <si>
    <t>2021. évi költségvetés  bevételei</t>
  </si>
  <si>
    <t xml:space="preserve">2021. évi költségvetés kiadásai </t>
  </si>
  <si>
    <t>2021. évi költségvetés kiadásai</t>
  </si>
  <si>
    <t xml:space="preserve">2021.évi költségvetés felhalmozási kiadásai </t>
  </si>
  <si>
    <t>K63</t>
  </si>
  <si>
    <t>Informatikai eszközök beszerzése</t>
  </si>
  <si>
    <t>Strand fejlesztés (Kisfaludy pályázat)</t>
  </si>
  <si>
    <t>Informatikai eszközök beszerzése (Kisfaludy pályázat)</t>
  </si>
  <si>
    <t xml:space="preserve">ebből tartalék  </t>
  </si>
  <si>
    <t>Egyéb feladatok támogatása</t>
  </si>
  <si>
    <t>K502</t>
  </si>
  <si>
    <t>Helyi önkormányzat törvényi előíráson alapuló befizetések</t>
  </si>
  <si>
    <t>Ingatlan értékesítés</t>
  </si>
  <si>
    <t>IKSZT dohányzó asztal</t>
  </si>
  <si>
    <t>Teljesítés 2019.év</t>
  </si>
  <si>
    <t>Teljesítés     2020.év</t>
  </si>
  <si>
    <t>Terv          2021. év</t>
  </si>
  <si>
    <t>Teljesítés  2019.év</t>
  </si>
  <si>
    <t>Teljesítés   2020.év</t>
  </si>
  <si>
    <t>Terv       2021.év</t>
  </si>
  <si>
    <t>Ingatlanok felújítása (kilátó, rózsakert)</t>
  </si>
  <si>
    <t>Rózsakert kertépítészeti felújítás</t>
  </si>
  <si>
    <t>Város és község (láncfűrész stb.)</t>
  </si>
  <si>
    <t>Informatikai eszközök (nyomtató, router, egér, szerver stb. )</t>
  </si>
  <si>
    <t>1. melléklet a 2/2021.(III.16.) önkormányzati rendelethez</t>
  </si>
  <si>
    <t>2. melléklet a  2/2021.(III.16.) önkormányzati rendelethez</t>
  </si>
  <si>
    <t>3. melléklet a  2/2021.(III.16.) önkormányzati rendelethez</t>
  </si>
  <si>
    <t>4. melléklet a 2/2021.(III.16.) önkormányzati rendelethez</t>
  </si>
  <si>
    <t>5. melléklet a 2/2021.(III.16.) önkormányzati rendelethez</t>
  </si>
  <si>
    <t>6. melléklet  a  2/2021.(III.16.) önkormányzati rendelethez</t>
  </si>
  <si>
    <t>7.melléklet a  2/2021.(III.16.) önkormányzati rendelethez</t>
  </si>
  <si>
    <t>8. melléklet a  2/2021.(III.16.) önkormányzati rendelethez</t>
  </si>
  <si>
    <t>9. melléklet a  2/2021.(III.16.)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</si>
</sst>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\-mm\-dd"/>
  </numFmts>
  <fonts count="46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3" fontId="1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36" borderId="13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left"/>
    </xf>
    <xf numFmtId="3" fontId="4" fillId="33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166" fontId="5" fillId="0" borderId="18" xfId="0" applyNumberFormat="1" applyFont="1" applyFill="1" applyBorder="1" applyAlignment="1">
      <alignment horizontal="left"/>
    </xf>
    <xf numFmtId="166" fontId="4" fillId="0" borderId="18" xfId="0" applyNumberFormat="1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left"/>
    </xf>
    <xf numFmtId="3" fontId="1" fillId="0" borderId="14" xfId="54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37" borderId="11" xfId="0" applyFont="1" applyFill="1" applyBorder="1" applyAlignment="1">
      <alignment/>
    </xf>
    <xf numFmtId="49" fontId="4" fillId="37" borderId="11" xfId="0" applyNumberFormat="1" applyFont="1" applyFill="1" applyBorder="1" applyAlignment="1">
      <alignment horizontal="left"/>
    </xf>
    <xf numFmtId="3" fontId="4" fillId="37" borderId="11" xfId="0" applyNumberFormat="1" applyFont="1" applyFill="1" applyBorder="1" applyAlignment="1">
      <alignment vertical="center"/>
    </xf>
    <xf numFmtId="0" fontId="1" fillId="38" borderId="0" xfId="0" applyFont="1" applyFill="1" applyAlignment="1">
      <alignment/>
    </xf>
    <xf numFmtId="3" fontId="5" fillId="37" borderId="11" xfId="0" applyNumberFormat="1" applyFont="1" applyFill="1" applyBorder="1" applyAlignment="1">
      <alignment vertical="center"/>
    </xf>
    <xf numFmtId="3" fontId="1" fillId="0" borderId="2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0" fontId="4" fillId="37" borderId="18" xfId="0" applyFont="1" applyFill="1" applyBorder="1" applyAlignment="1">
      <alignment horizontal="left"/>
    </xf>
    <xf numFmtId="3" fontId="3" fillId="37" borderId="18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4" fillId="0" borderId="18" xfId="0" applyFont="1" applyBorder="1" applyAlignment="1">
      <alignment wrapText="1"/>
    </xf>
    <xf numFmtId="0" fontId="8" fillId="0" borderId="18" xfId="0" applyFont="1" applyBorder="1" applyAlignment="1">
      <alignment horizontal="left"/>
    </xf>
    <xf numFmtId="3" fontId="1" fillId="37" borderId="18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4" fillId="39" borderId="11" xfId="0" applyNumberFormat="1" applyFont="1" applyFill="1" applyBorder="1" applyAlignment="1">
      <alignment vertical="center"/>
    </xf>
    <xf numFmtId="3" fontId="5" fillId="39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3" fontId="3" fillId="37" borderId="11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2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25" xfId="0" applyFont="1" applyBorder="1" applyAlignment="1">
      <alignment/>
    </xf>
    <xf numFmtId="0" fontId="4" fillId="37" borderId="18" xfId="0" applyFont="1" applyFill="1" applyBorder="1" applyAlignment="1">
      <alignment/>
    </xf>
    <xf numFmtId="49" fontId="4" fillId="37" borderId="18" xfId="0" applyNumberFormat="1" applyFont="1" applyFill="1" applyBorder="1" applyAlignment="1">
      <alignment horizontal="left"/>
    </xf>
    <xf numFmtId="0" fontId="5" fillId="37" borderId="18" xfId="0" applyFont="1" applyFill="1" applyBorder="1" applyAlignment="1">
      <alignment horizontal="left"/>
    </xf>
    <xf numFmtId="3" fontId="4" fillId="37" borderId="18" xfId="0" applyNumberFormat="1" applyFont="1" applyFill="1" applyBorder="1" applyAlignment="1">
      <alignment/>
    </xf>
    <xf numFmtId="49" fontId="5" fillId="37" borderId="18" xfId="0" applyNumberFormat="1" applyFont="1" applyFill="1" applyBorder="1" applyAlignment="1">
      <alignment horizontal="left"/>
    </xf>
    <xf numFmtId="3" fontId="5" fillId="37" borderId="18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1" xfId="0" applyFont="1" applyFill="1" applyBorder="1" applyAlignment="1">
      <alignment horizontal="left"/>
    </xf>
    <xf numFmtId="0" fontId="6" fillId="37" borderId="11" xfId="0" applyFont="1" applyFill="1" applyBorder="1" applyAlignment="1">
      <alignment/>
    </xf>
    <xf numFmtId="0" fontId="5" fillId="37" borderId="11" xfId="0" applyFont="1" applyFill="1" applyBorder="1" applyAlignment="1">
      <alignment horizontal="left"/>
    </xf>
    <xf numFmtId="3" fontId="1" fillId="37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5" fillId="37" borderId="10" xfId="0" applyFont="1" applyFill="1" applyBorder="1" applyAlignment="1">
      <alignment horizontal="left"/>
    </xf>
    <xf numFmtId="0" fontId="5" fillId="37" borderId="26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/>
    </xf>
    <xf numFmtId="0" fontId="3" fillId="37" borderId="2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32" xfId="54" applyFont="1" applyBorder="1" applyAlignment="1">
      <alignment horizontal="center" wrapText="1"/>
      <protection/>
    </xf>
    <xf numFmtId="0" fontId="3" fillId="0" borderId="33" xfId="54" applyFont="1" applyBorder="1" applyAlignment="1">
      <alignment horizont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3" fillId="0" borderId="13" xfId="54" applyFont="1" applyBorder="1" applyAlignment="1">
      <alignment horizontal="center" wrapText="1"/>
      <protection/>
    </xf>
    <xf numFmtId="0" fontId="3" fillId="0" borderId="14" xfId="54" applyFont="1" applyBorder="1" applyAlignment="1">
      <alignment horizontal="center" wrapText="1"/>
      <protection/>
    </xf>
    <xf numFmtId="0" fontId="3" fillId="0" borderId="18" xfId="0" applyFont="1" applyBorder="1" applyAlignment="1">
      <alignment horizontal="center" wrapText="1"/>
    </xf>
    <xf numFmtId="0" fontId="1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28125" style="1" customWidth="1"/>
    <col min="2" max="2" width="58.7109375" style="1" customWidth="1"/>
    <col min="3" max="3" width="24.00390625" style="1" customWidth="1"/>
    <col min="4" max="16384" width="9.140625" style="1" customWidth="1"/>
  </cols>
  <sheetData>
    <row r="1" spans="1:3" ht="15.75" customHeight="1">
      <c r="A1" s="199" t="s">
        <v>387</v>
      </c>
      <c r="B1" s="199"/>
      <c r="C1" s="199"/>
    </row>
    <row r="2" spans="1:3" ht="15.75" customHeight="1">
      <c r="A2" s="199"/>
      <c r="B2" s="199"/>
      <c r="C2" s="199"/>
    </row>
    <row r="3" spans="1:3" ht="15.75" customHeight="1">
      <c r="A3" s="2"/>
      <c r="B3" s="200"/>
      <c r="C3" s="200"/>
    </row>
    <row r="4" spans="1:3" ht="15.75" customHeight="1">
      <c r="A4" s="201" t="s">
        <v>0</v>
      </c>
      <c r="B4" s="201"/>
      <c r="C4" s="201"/>
    </row>
    <row r="5" spans="1:3" ht="15.75" customHeight="1">
      <c r="A5" s="201" t="s">
        <v>362</v>
      </c>
      <c r="B5" s="201"/>
      <c r="C5" s="201"/>
    </row>
    <row r="6" spans="1:3" ht="15.75" customHeight="1">
      <c r="A6" s="4"/>
      <c r="B6" s="4"/>
      <c r="C6" s="4"/>
    </row>
    <row r="7" spans="1:3" ht="15.75" customHeight="1">
      <c r="A7" s="5"/>
      <c r="B7" s="5"/>
      <c r="C7" s="5"/>
    </row>
    <row r="8" spans="1:3" ht="15.75" customHeight="1">
      <c r="A8" s="202" t="s">
        <v>1</v>
      </c>
      <c r="B8" s="202"/>
      <c r="C8" s="203" t="s">
        <v>2</v>
      </c>
    </row>
    <row r="9" spans="1:3" ht="15.75" customHeight="1">
      <c r="A9" s="202"/>
      <c r="B9" s="202"/>
      <c r="C9" s="203"/>
    </row>
    <row r="10" spans="1:3" ht="15.75" customHeight="1">
      <c r="A10" s="197" t="s">
        <v>3</v>
      </c>
      <c r="B10" s="197"/>
      <c r="C10" s="6">
        <f>SUM(C11:C14)</f>
        <v>417739841</v>
      </c>
    </row>
    <row r="11" spans="1:3" ht="15.75" customHeight="1">
      <c r="A11" s="7" t="s">
        <v>4</v>
      </c>
      <c r="B11" s="8" t="s">
        <v>5</v>
      </c>
      <c r="C11" s="9">
        <f>'2. Bevétel funkció'!F104</f>
        <v>99108746</v>
      </c>
    </row>
    <row r="12" spans="1:3" ht="15.75" customHeight="1">
      <c r="A12" s="7" t="s">
        <v>6</v>
      </c>
      <c r="B12" s="8" t="s">
        <v>7</v>
      </c>
      <c r="C12" s="9">
        <f>'2. Bevétel funkció'!F106</f>
        <v>121500000</v>
      </c>
    </row>
    <row r="13" spans="1:3" ht="15.75" customHeight="1">
      <c r="A13" s="7" t="s">
        <v>8</v>
      </c>
      <c r="B13" s="8" t="s">
        <v>9</v>
      </c>
      <c r="C13" s="9">
        <f>'2. Bevétel funkció'!F107</f>
        <v>196931095</v>
      </c>
    </row>
    <row r="14" spans="1:3" ht="15.75" customHeight="1">
      <c r="A14" s="7" t="s">
        <v>10</v>
      </c>
      <c r="B14" s="8" t="s">
        <v>11</v>
      </c>
      <c r="C14" s="9">
        <f>'2. Bevétel funkció'!F109</f>
        <v>200000</v>
      </c>
    </row>
    <row r="15" spans="1:3" ht="15.75" customHeight="1">
      <c r="A15" s="7"/>
      <c r="B15" s="8"/>
      <c r="C15" s="9"/>
    </row>
    <row r="16" spans="1:3" ht="15.75" customHeight="1">
      <c r="A16" s="10" t="s">
        <v>12</v>
      </c>
      <c r="B16" s="10"/>
      <c r="C16" s="11">
        <f>SUM(C17:C19)</f>
        <v>13600000</v>
      </c>
    </row>
    <row r="17" spans="1:3" ht="15.75" customHeight="1">
      <c r="A17" s="7" t="s">
        <v>13</v>
      </c>
      <c r="B17" s="7" t="s">
        <v>14</v>
      </c>
      <c r="C17" s="9">
        <f>'2. Bevétel funkció'!F105</f>
        <v>13000000</v>
      </c>
    </row>
    <row r="18" spans="1:3" ht="15.75" customHeight="1">
      <c r="A18" s="7" t="s">
        <v>15</v>
      </c>
      <c r="B18" s="8" t="s">
        <v>16</v>
      </c>
      <c r="C18" s="12">
        <f>'2. Bevétel funkció'!F108</f>
        <v>600000</v>
      </c>
    </row>
    <row r="19" spans="1:3" ht="15.75" customHeight="1">
      <c r="A19" s="7" t="s">
        <v>17</v>
      </c>
      <c r="B19" s="8" t="s">
        <v>18</v>
      </c>
      <c r="C19" s="12">
        <f>'2. Bevétel funkció'!F110</f>
        <v>0</v>
      </c>
    </row>
    <row r="20" spans="1:3" ht="15.75" customHeight="1">
      <c r="A20" s="13"/>
      <c r="B20" s="8"/>
      <c r="C20" s="12"/>
    </row>
    <row r="21" spans="1:3" ht="15.75" customHeight="1">
      <c r="A21" s="10" t="s">
        <v>19</v>
      </c>
      <c r="B21" s="14"/>
      <c r="C21" s="11">
        <f>SUM(C22)</f>
        <v>186060229</v>
      </c>
    </row>
    <row r="22" spans="1:3" ht="15.75" customHeight="1">
      <c r="A22" s="7" t="s">
        <v>20</v>
      </c>
      <c r="B22" s="8" t="s">
        <v>19</v>
      </c>
      <c r="C22" s="12">
        <f>'2. Bevétel funkció'!F111</f>
        <v>186060229</v>
      </c>
    </row>
    <row r="23" spans="1:3" ht="15.75" customHeight="1">
      <c r="A23" s="7"/>
      <c r="B23" s="8"/>
      <c r="C23" s="12"/>
    </row>
    <row r="24" spans="1:3" ht="15.75" customHeight="1">
      <c r="A24" s="10" t="s">
        <v>21</v>
      </c>
      <c r="B24" s="10"/>
      <c r="C24" s="11">
        <f>SUM(C10+C16+C21)</f>
        <v>617400070</v>
      </c>
    </row>
    <row r="25" spans="1:3" ht="15.75" customHeight="1">
      <c r="A25" s="15"/>
      <c r="B25" s="15"/>
      <c r="C25" s="16"/>
    </row>
    <row r="26" spans="1:3" ht="15.75" customHeight="1">
      <c r="A26" s="17"/>
      <c r="B26" s="17"/>
      <c r="C26" s="18"/>
    </row>
    <row r="27" spans="1:3" ht="15.75" customHeight="1">
      <c r="A27" s="198" t="s">
        <v>22</v>
      </c>
      <c r="B27" s="198"/>
      <c r="C27" s="11">
        <f>SUM(C28:C32)</f>
        <v>453055791.758</v>
      </c>
    </row>
    <row r="28" spans="1:3" ht="15.75" customHeight="1">
      <c r="A28" s="7" t="s">
        <v>23</v>
      </c>
      <c r="B28" s="20" t="s">
        <v>24</v>
      </c>
      <c r="C28" s="9">
        <f>'5.kiadás'!G438</f>
        <v>111082375.6</v>
      </c>
    </row>
    <row r="29" spans="1:3" ht="15.75" customHeight="1">
      <c r="A29" s="7" t="s">
        <v>25</v>
      </c>
      <c r="B29" s="7" t="s">
        <v>26</v>
      </c>
      <c r="C29" s="9">
        <f>'5.kiadás'!G439</f>
        <v>17054142.158</v>
      </c>
    </row>
    <row r="30" spans="1:3" ht="15.75" customHeight="1">
      <c r="A30" s="7" t="s">
        <v>27</v>
      </c>
      <c r="B30" s="8" t="s">
        <v>28</v>
      </c>
      <c r="C30" s="9">
        <f>'5.kiadás'!G440</f>
        <v>217356621</v>
      </c>
    </row>
    <row r="31" spans="1:3" ht="15.75" customHeight="1">
      <c r="A31" s="7" t="s">
        <v>29</v>
      </c>
      <c r="B31" s="20" t="s">
        <v>30</v>
      </c>
      <c r="C31" s="9">
        <f>'5.kiadás'!G441</f>
        <v>5628000</v>
      </c>
    </row>
    <row r="32" spans="1:3" ht="15.75" customHeight="1">
      <c r="A32" s="7" t="s">
        <v>31</v>
      </c>
      <c r="B32" s="20" t="s">
        <v>32</v>
      </c>
      <c r="C32" s="9">
        <f>'5.kiadás'!G442</f>
        <v>101934653</v>
      </c>
    </row>
    <row r="33" spans="1:3" ht="15.75" customHeight="1">
      <c r="A33" s="7"/>
      <c r="B33" s="20" t="s">
        <v>371</v>
      </c>
      <c r="C33" s="9">
        <v>10000000</v>
      </c>
    </row>
    <row r="34" spans="1:3" ht="15.75" customHeight="1">
      <c r="A34" s="19" t="s">
        <v>33</v>
      </c>
      <c r="B34" s="21"/>
      <c r="C34" s="11">
        <f>SUM(C35:C37)</f>
        <v>157874213</v>
      </c>
    </row>
    <row r="35" spans="1:3" ht="15.75" customHeight="1">
      <c r="A35" s="8" t="s">
        <v>34</v>
      </c>
      <c r="B35" s="20" t="s">
        <v>35</v>
      </c>
      <c r="C35" s="12">
        <f>'5.kiadás'!G443</f>
        <v>74708526</v>
      </c>
    </row>
    <row r="36" spans="1:3" ht="15.75" customHeight="1">
      <c r="A36" s="8" t="s">
        <v>36</v>
      </c>
      <c r="B36" s="20" t="s">
        <v>37</v>
      </c>
      <c r="C36" s="12">
        <f>'5.kiadás'!G444</f>
        <v>83165687</v>
      </c>
    </row>
    <row r="37" spans="1:3" ht="15.75" customHeight="1">
      <c r="A37" s="7" t="s">
        <v>38</v>
      </c>
      <c r="B37" s="7" t="s">
        <v>39</v>
      </c>
      <c r="C37" s="12">
        <f>'5.kiadás'!G445</f>
        <v>0</v>
      </c>
    </row>
    <row r="38" spans="1:3" ht="15.75" customHeight="1">
      <c r="A38" s="7"/>
      <c r="B38" s="7"/>
      <c r="C38" s="12"/>
    </row>
    <row r="39" spans="1:3" ht="15.75" customHeight="1">
      <c r="A39" s="10" t="s">
        <v>40</v>
      </c>
      <c r="B39" s="22"/>
      <c r="C39" s="11">
        <f>SUM(C40)</f>
        <v>6470065</v>
      </c>
    </row>
    <row r="40" spans="1:3" ht="15.75" customHeight="1">
      <c r="A40" s="7" t="s">
        <v>41</v>
      </c>
      <c r="B40" s="7" t="s">
        <v>40</v>
      </c>
      <c r="C40" s="12">
        <f>'5.kiadás'!G446</f>
        <v>6470065</v>
      </c>
    </row>
    <row r="41" spans="1:3" ht="15.75" customHeight="1">
      <c r="A41" s="7"/>
      <c r="B41" s="7"/>
      <c r="C41" s="12"/>
    </row>
    <row r="42" spans="1:3" ht="15.75" customHeight="1">
      <c r="A42" s="10" t="s">
        <v>42</v>
      </c>
      <c r="B42" s="10"/>
      <c r="C42" s="11">
        <f>SUM(C34,C27,C39)</f>
        <v>617400069.758</v>
      </c>
    </row>
  </sheetData>
  <sheetProtection selectLockedCells="1" selectUnlockedCells="1"/>
  <mergeCells count="9">
    <mergeCell ref="A10:B10"/>
    <mergeCell ref="A27:B27"/>
    <mergeCell ref="A1:C1"/>
    <mergeCell ref="A2:C2"/>
    <mergeCell ref="B3:C3"/>
    <mergeCell ref="A4:C4"/>
    <mergeCell ref="A5:C5"/>
    <mergeCell ref="A8:B9"/>
    <mergeCell ref="C8:C9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7.57421875" style="0" customWidth="1"/>
    <col min="6" max="6" width="23.00390625" style="0" customWidth="1"/>
  </cols>
  <sheetData>
    <row r="1" spans="1:6" ht="15.75">
      <c r="A1" s="206" t="s">
        <v>388</v>
      </c>
      <c r="B1" s="206"/>
      <c r="C1" s="206"/>
      <c r="D1" s="206"/>
      <c r="E1" s="206"/>
      <c r="F1" s="206"/>
    </row>
    <row r="2" spans="1:6" ht="15.75">
      <c r="A2" s="206"/>
      <c r="B2" s="206"/>
      <c r="C2" s="206"/>
      <c r="D2" s="206"/>
      <c r="E2" s="206"/>
      <c r="F2" s="206"/>
    </row>
    <row r="3" spans="1:6" ht="15.75">
      <c r="A3" s="23"/>
      <c r="B3" s="23"/>
      <c r="C3" s="23"/>
      <c r="D3" s="23"/>
      <c r="E3" s="3"/>
      <c r="F3" s="3"/>
    </row>
    <row r="4" spans="1:6" ht="15" customHeight="1">
      <c r="A4" s="207" t="s">
        <v>0</v>
      </c>
      <c r="B4" s="207"/>
      <c r="C4" s="207"/>
      <c r="D4" s="207"/>
      <c r="E4" s="207"/>
      <c r="F4" s="207"/>
    </row>
    <row r="5" spans="1:6" ht="15" customHeight="1">
      <c r="A5" s="207" t="s">
        <v>361</v>
      </c>
      <c r="B5" s="207"/>
      <c r="C5" s="207"/>
      <c r="D5" s="207"/>
      <c r="E5" s="207"/>
      <c r="F5" s="207"/>
    </row>
    <row r="6" spans="1:6" ht="15" customHeight="1">
      <c r="A6" s="207" t="s">
        <v>43</v>
      </c>
      <c r="B6" s="207"/>
      <c r="C6" s="207"/>
      <c r="D6" s="207"/>
      <c r="E6" s="207"/>
      <c r="F6" s="207"/>
    </row>
    <row r="7" spans="1:6" ht="15" customHeight="1">
      <c r="A7" s="24"/>
      <c r="B7" s="24"/>
      <c r="C7" s="24"/>
      <c r="D7" s="24"/>
      <c r="E7" s="24"/>
      <c r="F7" s="24"/>
    </row>
    <row r="8" spans="1:6" ht="15.75">
      <c r="A8" s="25"/>
      <c r="B8" s="25"/>
      <c r="C8" s="25"/>
      <c r="D8" s="25"/>
      <c r="E8" s="26"/>
      <c r="F8" s="26"/>
    </row>
    <row r="9" spans="1:6" ht="15.75" customHeight="1">
      <c r="A9" s="208" t="s">
        <v>44</v>
      </c>
      <c r="B9" s="208"/>
      <c r="C9" s="208"/>
      <c r="D9" s="208"/>
      <c r="E9" s="208"/>
      <c r="F9" s="209" t="s">
        <v>2</v>
      </c>
    </row>
    <row r="10" spans="1:6" ht="12.75" customHeight="1">
      <c r="A10" s="208"/>
      <c r="B10" s="208"/>
      <c r="C10" s="208"/>
      <c r="D10" s="208"/>
      <c r="E10" s="208"/>
      <c r="F10" s="209"/>
    </row>
    <row r="11" spans="1:6" ht="15.75">
      <c r="A11" s="10" t="s">
        <v>45</v>
      </c>
      <c r="B11" s="27"/>
      <c r="C11" s="27"/>
      <c r="D11" s="27"/>
      <c r="E11" s="27"/>
      <c r="F11" s="28">
        <f>F17+F19+F14+F12</f>
        <v>14001000</v>
      </c>
    </row>
    <row r="12" spans="1:6" ht="15.75">
      <c r="A12" s="191" t="s">
        <v>6</v>
      </c>
      <c r="B12" s="158" t="s">
        <v>7</v>
      </c>
      <c r="C12" s="158"/>
      <c r="D12" s="158"/>
      <c r="E12" s="158"/>
      <c r="F12" s="159">
        <f>SUM(F13)</f>
        <v>13000000</v>
      </c>
    </row>
    <row r="13" spans="1:6" ht="15.75">
      <c r="A13" s="191"/>
      <c r="B13" s="29" t="s">
        <v>72</v>
      </c>
      <c r="C13" s="29" t="s">
        <v>73</v>
      </c>
      <c r="D13" s="29"/>
      <c r="E13" s="158"/>
      <c r="F13" s="161">
        <v>13000000</v>
      </c>
    </row>
    <row r="14" spans="1:6" ht="15.75">
      <c r="A14" s="29" t="s">
        <v>8</v>
      </c>
      <c r="B14" s="29"/>
      <c r="C14" s="29" t="s">
        <v>9</v>
      </c>
      <c r="D14" s="29"/>
      <c r="E14" s="29"/>
      <c r="F14" s="32">
        <f>SUM(F15:F16)</f>
        <v>201000</v>
      </c>
    </row>
    <row r="15" spans="1:6" ht="15.75">
      <c r="A15" s="30"/>
      <c r="B15" s="30"/>
      <c r="C15" s="30" t="s">
        <v>47</v>
      </c>
      <c r="D15" s="30" t="s">
        <v>48</v>
      </c>
      <c r="E15" s="30"/>
      <c r="F15" s="32">
        <v>200000</v>
      </c>
    </row>
    <row r="16" spans="1:6" ht="15.75">
      <c r="A16" s="30"/>
      <c r="B16" s="30"/>
      <c r="C16" s="30" t="s">
        <v>51</v>
      </c>
      <c r="D16" s="30" t="s">
        <v>52</v>
      </c>
      <c r="E16" s="30"/>
      <c r="F16" s="32">
        <v>1000</v>
      </c>
    </row>
    <row r="17" spans="1:6" ht="15.75">
      <c r="A17" s="29" t="s">
        <v>15</v>
      </c>
      <c r="B17" s="29"/>
      <c r="C17" s="29" t="s">
        <v>16</v>
      </c>
      <c r="D17" s="29"/>
      <c r="E17" s="29"/>
      <c r="F17" s="31">
        <f>SUM(F18:F18)</f>
        <v>600000</v>
      </c>
    </row>
    <row r="18" spans="1:6" ht="15.75">
      <c r="A18" s="30"/>
      <c r="B18" s="30" t="s">
        <v>53</v>
      </c>
      <c r="C18" s="30"/>
      <c r="D18" s="30" t="s">
        <v>54</v>
      </c>
      <c r="E18" s="30"/>
      <c r="F18" s="32">
        <v>600000</v>
      </c>
    </row>
    <row r="19" spans="1:6" ht="15.75">
      <c r="A19" s="29" t="s">
        <v>10</v>
      </c>
      <c r="B19" s="29"/>
      <c r="C19" s="29" t="s">
        <v>11</v>
      </c>
      <c r="D19" s="29"/>
      <c r="E19" s="29"/>
      <c r="F19" s="31">
        <f>SUM(F20)</f>
        <v>200000</v>
      </c>
    </row>
    <row r="20" spans="1:6" ht="15.75">
      <c r="A20" s="30"/>
      <c r="B20" s="30" t="s">
        <v>55</v>
      </c>
      <c r="C20" s="30"/>
      <c r="D20" s="30" t="s">
        <v>56</v>
      </c>
      <c r="E20" s="30"/>
      <c r="F20" s="32">
        <v>200000</v>
      </c>
    </row>
    <row r="21" spans="1:6" ht="15.75" customHeight="1">
      <c r="A21" s="30"/>
      <c r="B21" s="30"/>
      <c r="C21" s="30"/>
      <c r="D21" s="30"/>
      <c r="E21" s="30"/>
      <c r="F21" s="34"/>
    </row>
    <row r="22" spans="1:6" ht="15.75" customHeight="1">
      <c r="A22" s="35" t="s">
        <v>57</v>
      </c>
      <c r="B22" s="35"/>
      <c r="C22" s="35"/>
      <c r="D22" s="35"/>
      <c r="E22" s="35"/>
      <c r="F22" s="36">
        <f>SUM(F23)</f>
        <v>108500000</v>
      </c>
    </row>
    <row r="23" spans="1:6" ht="15.75" customHeight="1">
      <c r="A23" s="29" t="s">
        <v>6</v>
      </c>
      <c r="B23" s="29"/>
      <c r="C23" s="29" t="s">
        <v>7</v>
      </c>
      <c r="D23" s="29"/>
      <c r="E23" s="29"/>
      <c r="F23" s="37">
        <f>F24+F27+F32</f>
        <v>108500000</v>
      </c>
    </row>
    <row r="24" spans="1:6" ht="15.75" customHeight="1">
      <c r="A24" s="30"/>
      <c r="B24" s="29" t="s">
        <v>58</v>
      </c>
      <c r="C24" s="29"/>
      <c r="D24" s="29" t="s">
        <v>59</v>
      </c>
      <c r="E24" s="29"/>
      <c r="F24" s="37">
        <f>SUM(F25:F26)</f>
        <v>62000000</v>
      </c>
    </row>
    <row r="25" spans="1:6" ht="15.75" customHeight="1">
      <c r="A25" s="30"/>
      <c r="B25" s="30"/>
      <c r="C25" s="30" t="s">
        <v>60</v>
      </c>
      <c r="D25" s="30"/>
      <c r="E25" s="30" t="s">
        <v>61</v>
      </c>
      <c r="F25" s="38">
        <v>50000000</v>
      </c>
    </row>
    <row r="26" spans="1:6" ht="15.75" customHeight="1">
      <c r="A26" s="29"/>
      <c r="B26" s="29"/>
      <c r="C26" s="30" t="s">
        <v>62</v>
      </c>
      <c r="D26" s="29"/>
      <c r="E26" s="30" t="s">
        <v>63</v>
      </c>
      <c r="F26" s="34">
        <v>12000000</v>
      </c>
    </row>
    <row r="27" spans="1:6" ht="15.75" customHeight="1">
      <c r="A27" s="29"/>
      <c r="B27" s="29" t="s">
        <v>64</v>
      </c>
      <c r="C27" s="29"/>
      <c r="D27" s="29" t="s">
        <v>65</v>
      </c>
      <c r="E27" s="29"/>
      <c r="F27" s="37">
        <f>F28+F30</f>
        <v>46000000</v>
      </c>
    </row>
    <row r="28" spans="1:6" ht="15.75" customHeight="1">
      <c r="A28" s="29"/>
      <c r="B28" s="30"/>
      <c r="C28" s="30" t="s">
        <v>66</v>
      </c>
      <c r="D28" s="30" t="s">
        <v>67</v>
      </c>
      <c r="E28" s="30"/>
      <c r="F28" s="34">
        <f>SUM(F29)</f>
        <v>26000000</v>
      </c>
    </row>
    <row r="29" spans="1:6" ht="15.75" customHeight="1">
      <c r="A29" s="29"/>
      <c r="B29" s="30"/>
      <c r="C29" s="30"/>
      <c r="D29" s="30"/>
      <c r="E29" s="30" t="s">
        <v>68</v>
      </c>
      <c r="F29" s="38">
        <v>26000000</v>
      </c>
    </row>
    <row r="30" spans="1:6" ht="15.75" customHeight="1">
      <c r="A30" s="29"/>
      <c r="B30" s="30"/>
      <c r="C30" s="30" t="s">
        <v>69</v>
      </c>
      <c r="D30" s="30" t="s">
        <v>70</v>
      </c>
      <c r="E30" s="30"/>
      <c r="F30" s="34">
        <f>SUM(F31:F31)</f>
        <v>20000000</v>
      </c>
    </row>
    <row r="31" spans="1:6" ht="15.75" customHeight="1">
      <c r="A31" s="29"/>
      <c r="B31" s="30"/>
      <c r="C31" s="30"/>
      <c r="D31" s="30"/>
      <c r="E31" s="30" t="s">
        <v>71</v>
      </c>
      <c r="F31" s="34">
        <v>20000000</v>
      </c>
    </row>
    <row r="32" spans="1:6" ht="15.75" customHeight="1">
      <c r="A32" s="30"/>
      <c r="B32" s="29" t="s">
        <v>72</v>
      </c>
      <c r="C32" s="29"/>
      <c r="D32" s="29" t="s">
        <v>73</v>
      </c>
      <c r="E32" s="29"/>
      <c r="F32" s="37">
        <f>F33</f>
        <v>500000</v>
      </c>
    </row>
    <row r="33" spans="1:6" ht="15.75" customHeight="1">
      <c r="A33" s="30"/>
      <c r="B33" s="30"/>
      <c r="C33" s="30" t="s">
        <v>74</v>
      </c>
      <c r="D33" s="30"/>
      <c r="E33" s="30" t="s">
        <v>75</v>
      </c>
      <c r="F33" s="34">
        <v>500000</v>
      </c>
    </row>
    <row r="34" spans="1:6" ht="15.75" customHeight="1">
      <c r="A34" s="29"/>
      <c r="B34" s="30"/>
      <c r="C34" s="30"/>
      <c r="D34" s="30"/>
      <c r="E34" s="30"/>
      <c r="F34" s="34"/>
    </row>
    <row r="35" spans="1:6" ht="15.75" customHeight="1">
      <c r="A35" s="10" t="s">
        <v>76</v>
      </c>
      <c r="B35" s="19"/>
      <c r="C35" s="19"/>
      <c r="D35" s="19"/>
      <c r="E35" s="39"/>
      <c r="F35" s="36">
        <f>SUM(F36)</f>
        <v>63500</v>
      </c>
    </row>
    <row r="36" spans="1:6" ht="15.75" customHeight="1">
      <c r="A36" s="29" t="s">
        <v>8</v>
      </c>
      <c r="B36" s="29"/>
      <c r="C36" s="29" t="s">
        <v>9</v>
      </c>
      <c r="D36" s="29"/>
      <c r="E36" s="29"/>
      <c r="F36" s="34">
        <f>F37+F38</f>
        <v>63500</v>
      </c>
    </row>
    <row r="37" spans="1:6" ht="15.75" customHeight="1">
      <c r="A37" s="29"/>
      <c r="B37" s="30"/>
      <c r="C37" s="30" t="s">
        <v>47</v>
      </c>
      <c r="D37" s="30"/>
      <c r="E37" s="30" t="s">
        <v>77</v>
      </c>
      <c r="F37" s="34">
        <v>50000</v>
      </c>
    </row>
    <row r="38" spans="1:6" ht="15.75" customHeight="1">
      <c r="A38" s="29"/>
      <c r="B38" s="30"/>
      <c r="C38" s="30" t="s">
        <v>49</v>
      </c>
      <c r="D38" s="30"/>
      <c r="E38" s="30" t="s">
        <v>50</v>
      </c>
      <c r="F38" s="34">
        <v>13500</v>
      </c>
    </row>
    <row r="39" spans="1:6" ht="15.75" customHeight="1">
      <c r="A39" s="30"/>
      <c r="B39" s="30"/>
      <c r="C39" s="30"/>
      <c r="D39" s="30"/>
      <c r="E39" s="30"/>
      <c r="F39" s="34"/>
    </row>
    <row r="40" spans="1:6" ht="15.75" customHeight="1">
      <c r="A40" s="10" t="s">
        <v>78</v>
      </c>
      <c r="B40" s="19"/>
      <c r="C40" s="19"/>
      <c r="D40" s="19"/>
      <c r="E40" s="39"/>
      <c r="F40" s="36">
        <f>F41+F43</f>
        <v>109981992</v>
      </c>
    </row>
    <row r="41" spans="1:6" ht="15.75" customHeight="1">
      <c r="A41" s="191" t="s">
        <v>13</v>
      </c>
      <c r="B41" s="192"/>
      <c r="C41" s="192" t="s">
        <v>16</v>
      </c>
      <c r="D41" s="192"/>
      <c r="E41" s="193"/>
      <c r="F41" s="179">
        <f>SUM(F42)</f>
        <v>13000000</v>
      </c>
    </row>
    <row r="42" spans="1:6" ht="15.75" customHeight="1">
      <c r="A42" s="191"/>
      <c r="B42" s="192"/>
      <c r="C42" s="194" t="s">
        <v>53</v>
      </c>
      <c r="D42" s="204" t="s">
        <v>375</v>
      </c>
      <c r="E42" s="205"/>
      <c r="F42" s="195">
        <v>13000000</v>
      </c>
    </row>
    <row r="43" spans="1:6" ht="15.75" customHeight="1">
      <c r="A43" s="29" t="s">
        <v>8</v>
      </c>
      <c r="B43" s="29"/>
      <c r="C43" s="29" t="s">
        <v>9</v>
      </c>
      <c r="D43" s="29"/>
      <c r="E43" s="29"/>
      <c r="F43" s="37">
        <f>F44+F47+F48+F49</f>
        <v>96981992</v>
      </c>
    </row>
    <row r="44" spans="1:6" ht="15.75" customHeight="1">
      <c r="A44" s="30"/>
      <c r="B44" s="30"/>
      <c r="C44" s="30" t="s">
        <v>47</v>
      </c>
      <c r="D44" s="30" t="s">
        <v>77</v>
      </c>
      <c r="E44" s="30"/>
      <c r="F44" s="34">
        <f>SUM(F45:F46)</f>
        <v>73300000</v>
      </c>
    </row>
    <row r="45" spans="1:6" ht="15.75" customHeight="1">
      <c r="A45" s="30"/>
      <c r="B45" s="30"/>
      <c r="C45" s="30"/>
      <c r="D45" s="30"/>
      <c r="E45" s="30" t="s">
        <v>79</v>
      </c>
      <c r="F45" s="40">
        <v>73000000</v>
      </c>
    </row>
    <row r="46" spans="1:6" ht="15.75" customHeight="1">
      <c r="A46" s="30"/>
      <c r="B46" s="30"/>
      <c r="C46" s="30"/>
      <c r="D46" s="30"/>
      <c r="E46" s="30" t="s">
        <v>80</v>
      </c>
      <c r="F46" s="34">
        <v>300000</v>
      </c>
    </row>
    <row r="47" spans="1:6" ht="15.75" customHeight="1">
      <c r="A47" s="30"/>
      <c r="B47" s="30"/>
      <c r="C47" s="30" t="s">
        <v>81</v>
      </c>
      <c r="D47" s="30" t="s">
        <v>82</v>
      </c>
      <c r="E47" s="30"/>
      <c r="F47" s="34">
        <v>1200000</v>
      </c>
    </row>
    <row r="48" spans="1:6" ht="15.75" customHeight="1">
      <c r="A48" s="30"/>
      <c r="B48" s="30"/>
      <c r="C48" s="30" t="s">
        <v>49</v>
      </c>
      <c r="D48" s="30" t="s">
        <v>50</v>
      </c>
      <c r="E48" s="30"/>
      <c r="F48" s="40">
        <f>19500000</f>
        <v>19500000</v>
      </c>
    </row>
    <row r="49" spans="1:6" ht="15.75" customHeight="1">
      <c r="A49" s="30"/>
      <c r="B49" s="30"/>
      <c r="C49" s="30" t="s">
        <v>339</v>
      </c>
      <c r="D49" s="30" t="s">
        <v>342</v>
      </c>
      <c r="E49" s="30"/>
      <c r="F49" s="40">
        <v>2981992</v>
      </c>
    </row>
    <row r="50" spans="1:6" ht="15.75" customHeight="1">
      <c r="A50" s="30"/>
      <c r="B50" s="30"/>
      <c r="C50" s="30"/>
      <c r="D50" s="30"/>
      <c r="E50" s="30"/>
      <c r="F50" s="34"/>
    </row>
    <row r="51" spans="1:6" ht="15.75" customHeight="1">
      <c r="A51" s="35" t="s">
        <v>83</v>
      </c>
      <c r="B51" s="35"/>
      <c r="C51" s="35"/>
      <c r="D51" s="35"/>
      <c r="E51" s="35"/>
      <c r="F51" s="36">
        <f>F52</f>
        <v>86751622</v>
      </c>
    </row>
    <row r="52" spans="1:6" ht="15.75" customHeight="1">
      <c r="A52" s="29" t="s">
        <v>4</v>
      </c>
      <c r="B52" s="29"/>
      <c r="C52" s="29" t="s">
        <v>5</v>
      </c>
      <c r="D52" s="29"/>
      <c r="E52" s="30"/>
      <c r="F52" s="37">
        <f>F53</f>
        <v>86751622</v>
      </c>
    </row>
    <row r="53" spans="1:6" ht="15.75" customHeight="1">
      <c r="A53" s="30"/>
      <c r="B53" s="30" t="s">
        <v>84</v>
      </c>
      <c r="C53" s="30"/>
      <c r="D53" s="30" t="s">
        <v>85</v>
      </c>
      <c r="E53" s="30"/>
      <c r="F53" s="34">
        <f>SUM(F54:F58)</f>
        <v>86751622</v>
      </c>
    </row>
    <row r="54" spans="1:6" ht="15.75" customHeight="1">
      <c r="A54" s="29"/>
      <c r="B54" s="29"/>
      <c r="C54" s="30" t="s">
        <v>86</v>
      </c>
      <c r="D54" s="30" t="s">
        <v>87</v>
      </c>
      <c r="E54" s="30"/>
      <c r="F54" s="34">
        <v>33279625</v>
      </c>
    </row>
    <row r="55" spans="1:6" ht="15.75" customHeight="1">
      <c r="A55" s="30"/>
      <c r="B55" s="30"/>
      <c r="C55" s="30" t="s">
        <v>88</v>
      </c>
      <c r="D55" s="30" t="s">
        <v>89</v>
      </c>
      <c r="E55" s="30"/>
      <c r="F55" s="34">
        <v>23442820</v>
      </c>
    </row>
    <row r="56" spans="1:6" ht="15.75" customHeight="1">
      <c r="A56" s="30"/>
      <c r="B56" s="30"/>
      <c r="C56" s="30" t="s">
        <v>356</v>
      </c>
      <c r="D56" s="30" t="s">
        <v>353</v>
      </c>
      <c r="E56" s="30"/>
      <c r="F56" s="34">
        <v>5628000</v>
      </c>
    </row>
    <row r="57" spans="1:6" ht="15.75" customHeight="1">
      <c r="A57" s="30"/>
      <c r="B57" s="30"/>
      <c r="C57" s="30" t="s">
        <v>355</v>
      </c>
      <c r="D57" s="30" t="s">
        <v>354</v>
      </c>
      <c r="E57" s="30"/>
      <c r="F57" s="34">
        <v>21823217</v>
      </c>
    </row>
    <row r="58" spans="1:6" ht="15.75" customHeight="1">
      <c r="A58" s="30"/>
      <c r="B58" s="30"/>
      <c r="C58" s="30" t="s">
        <v>90</v>
      </c>
      <c r="D58" s="30" t="s">
        <v>91</v>
      </c>
      <c r="E58" s="30"/>
      <c r="F58" s="38">
        <v>2577960</v>
      </c>
    </row>
    <row r="59" spans="1:6" ht="15.75" customHeight="1">
      <c r="A59" s="30"/>
      <c r="B59" s="30"/>
      <c r="C59" s="30"/>
      <c r="D59" s="30"/>
      <c r="E59" s="30"/>
      <c r="F59" s="38"/>
    </row>
    <row r="60" spans="1:6" ht="15.75" customHeight="1">
      <c r="A60" s="35" t="s">
        <v>93</v>
      </c>
      <c r="B60" s="35"/>
      <c r="C60" s="35"/>
      <c r="D60" s="35"/>
      <c r="E60" s="35"/>
      <c r="F60" s="36">
        <f>F61</f>
        <v>6470065</v>
      </c>
    </row>
    <row r="61" spans="1:6" ht="15.75" customHeight="1">
      <c r="A61" s="29" t="s">
        <v>20</v>
      </c>
      <c r="B61" s="29"/>
      <c r="C61" s="29" t="s">
        <v>19</v>
      </c>
      <c r="D61" s="29"/>
      <c r="E61" s="30"/>
      <c r="F61" s="34">
        <f>F62</f>
        <v>6470065</v>
      </c>
    </row>
    <row r="62" spans="1:6" ht="15.75" customHeight="1">
      <c r="A62" s="30"/>
      <c r="B62" s="30"/>
      <c r="C62" s="30" t="s">
        <v>94</v>
      </c>
      <c r="D62" s="30"/>
      <c r="E62" s="30" t="s">
        <v>95</v>
      </c>
      <c r="F62" s="34">
        <v>6470065</v>
      </c>
    </row>
    <row r="63" spans="1:6" ht="15.75" customHeight="1">
      <c r="A63" s="30"/>
      <c r="B63" s="30"/>
      <c r="C63" s="30"/>
      <c r="D63" s="30"/>
      <c r="E63" s="30"/>
      <c r="F63" s="38"/>
    </row>
    <row r="64" spans="1:6" ht="15.75" customHeight="1">
      <c r="A64" s="35" t="s">
        <v>96</v>
      </c>
      <c r="B64" s="35"/>
      <c r="C64" s="35"/>
      <c r="D64" s="35"/>
      <c r="E64" s="35"/>
      <c r="F64" s="36">
        <f>F65+F69</f>
        <v>189451103</v>
      </c>
    </row>
    <row r="65" spans="1:6" ht="15.75" customHeight="1">
      <c r="A65" s="29" t="s">
        <v>4</v>
      </c>
      <c r="B65" s="29"/>
      <c r="C65" s="29" t="s">
        <v>5</v>
      </c>
      <c r="D65" s="29"/>
      <c r="E65" s="30"/>
      <c r="F65" s="41">
        <f>F66</f>
        <v>9860939</v>
      </c>
    </row>
    <row r="66" spans="1:6" ht="15.75" customHeight="1">
      <c r="A66" s="30"/>
      <c r="B66" s="30" t="s">
        <v>46</v>
      </c>
      <c r="C66" s="30"/>
      <c r="D66" s="30" t="s">
        <v>97</v>
      </c>
      <c r="E66" s="30"/>
      <c r="F66" s="38">
        <f>F67+F68</f>
        <v>9860939</v>
      </c>
    </row>
    <row r="67" spans="1:6" ht="15.75" customHeight="1">
      <c r="A67" s="42"/>
      <c r="B67" s="42"/>
      <c r="C67" s="42"/>
      <c r="D67" s="42"/>
      <c r="E67" s="43" t="s">
        <v>98</v>
      </c>
      <c r="F67" s="38">
        <v>2825339</v>
      </c>
    </row>
    <row r="68" spans="1:6" ht="15.75" customHeight="1">
      <c r="A68" s="42"/>
      <c r="B68" s="43" t="s">
        <v>46</v>
      </c>
      <c r="C68" s="42"/>
      <c r="D68" s="42"/>
      <c r="E68" s="30" t="s">
        <v>325</v>
      </c>
      <c r="F68" s="38">
        <v>7035600</v>
      </c>
    </row>
    <row r="69" spans="1:6" ht="15.75" customHeight="1">
      <c r="A69" s="29" t="s">
        <v>20</v>
      </c>
      <c r="B69" s="29"/>
      <c r="C69" s="29" t="s">
        <v>19</v>
      </c>
      <c r="D69" s="29"/>
      <c r="E69" s="29"/>
      <c r="F69" s="37">
        <f>SUM(F70)</f>
        <v>179590164</v>
      </c>
    </row>
    <row r="70" spans="1:6" ht="15.75" customHeight="1">
      <c r="A70" s="30"/>
      <c r="B70" s="30" t="s">
        <v>99</v>
      </c>
      <c r="C70" s="30"/>
      <c r="D70" s="30" t="s">
        <v>100</v>
      </c>
      <c r="E70" s="30"/>
      <c r="F70" s="34">
        <f>F71</f>
        <v>179590164</v>
      </c>
    </row>
    <row r="71" spans="1:6" ht="15.75" customHeight="1">
      <c r="A71" s="30"/>
      <c r="B71" s="30"/>
      <c r="C71" s="30" t="s">
        <v>101</v>
      </c>
      <c r="D71" s="30"/>
      <c r="E71" s="30" t="s">
        <v>102</v>
      </c>
      <c r="F71" s="34">
        <v>179590164</v>
      </c>
    </row>
    <row r="72" spans="1:6" ht="15.75" customHeight="1">
      <c r="A72" s="30"/>
      <c r="B72" s="30"/>
      <c r="C72" s="30"/>
      <c r="D72" s="30"/>
      <c r="E72" s="30"/>
      <c r="F72" s="34"/>
    </row>
    <row r="73" spans="1:6" ht="15.75" customHeight="1">
      <c r="A73" s="10" t="s">
        <v>343</v>
      </c>
      <c r="B73" s="19"/>
      <c r="C73" s="19"/>
      <c r="D73" s="44"/>
      <c r="E73" s="45"/>
      <c r="F73" s="36">
        <f>F75</f>
        <v>2496185</v>
      </c>
    </row>
    <row r="74" spans="1:6" ht="15.75" customHeight="1">
      <c r="A74" s="29" t="s">
        <v>4</v>
      </c>
      <c r="B74" s="29"/>
      <c r="C74" s="29" t="s">
        <v>5</v>
      </c>
      <c r="D74" s="29"/>
      <c r="E74" s="30"/>
      <c r="F74" s="179">
        <f>SUM(F75)</f>
        <v>2496185</v>
      </c>
    </row>
    <row r="75" spans="1:6" ht="15.75" customHeight="1">
      <c r="A75" s="30"/>
      <c r="B75" s="30" t="s">
        <v>46</v>
      </c>
      <c r="C75" s="30"/>
      <c r="D75" s="30" t="s">
        <v>97</v>
      </c>
      <c r="E75" s="30"/>
      <c r="F75" s="34">
        <v>2496185</v>
      </c>
    </row>
    <row r="76" spans="1:6" ht="15.75" customHeight="1">
      <c r="A76" s="30"/>
      <c r="B76" s="30"/>
      <c r="C76" s="30"/>
      <c r="D76" s="30"/>
      <c r="E76" s="30"/>
      <c r="F76" s="34"/>
    </row>
    <row r="77" spans="1:6" ht="15.75" customHeight="1">
      <c r="A77" s="10" t="s">
        <v>311</v>
      </c>
      <c r="B77" s="19"/>
      <c r="C77" s="19"/>
      <c r="D77" s="44"/>
      <c r="E77" s="45"/>
      <c r="F77" s="36">
        <f>F78</f>
        <v>508000</v>
      </c>
    </row>
    <row r="78" spans="1:6" ht="15.75" customHeight="1">
      <c r="A78" s="29" t="s">
        <v>8</v>
      </c>
      <c r="B78" s="29"/>
      <c r="C78" s="29" t="s">
        <v>9</v>
      </c>
      <c r="D78" s="29"/>
      <c r="E78" s="29"/>
      <c r="F78" s="37">
        <f>SUM(F79:F80)</f>
        <v>508000</v>
      </c>
    </row>
    <row r="79" spans="1:6" ht="15.75" customHeight="1">
      <c r="A79" s="30"/>
      <c r="B79" s="30"/>
      <c r="C79" s="30" t="s">
        <v>47</v>
      </c>
      <c r="D79" s="30" t="s">
        <v>111</v>
      </c>
      <c r="E79" s="30"/>
      <c r="F79" s="34">
        <v>400000</v>
      </c>
    </row>
    <row r="80" spans="1:6" ht="15.75" customHeight="1">
      <c r="A80" s="30"/>
      <c r="B80" s="30"/>
      <c r="C80" s="30" t="s">
        <v>49</v>
      </c>
      <c r="D80" s="30" t="s">
        <v>50</v>
      </c>
      <c r="E80" s="30"/>
      <c r="F80" s="34">
        <v>108000</v>
      </c>
    </row>
    <row r="81" spans="1:6" ht="15.75" customHeight="1">
      <c r="A81" s="30"/>
      <c r="B81" s="30"/>
      <c r="C81" s="30"/>
      <c r="D81" s="30"/>
      <c r="E81" s="30"/>
      <c r="F81" s="34"/>
    </row>
    <row r="82" spans="1:6" ht="15.75" customHeight="1">
      <c r="A82" s="10" t="s">
        <v>104</v>
      </c>
      <c r="B82" s="19"/>
      <c r="C82" s="19"/>
      <c r="D82" s="19"/>
      <c r="E82" s="39"/>
      <c r="F82" s="36">
        <f>F83</f>
        <v>381000</v>
      </c>
    </row>
    <row r="83" spans="1:6" ht="15.75" customHeight="1">
      <c r="A83" s="29" t="s">
        <v>8</v>
      </c>
      <c r="B83" s="29"/>
      <c r="C83" s="29" t="s">
        <v>9</v>
      </c>
      <c r="D83" s="29"/>
      <c r="E83" s="29"/>
      <c r="F83" s="37">
        <f>SUM(F84:F85)</f>
        <v>381000</v>
      </c>
    </row>
    <row r="84" spans="1:6" ht="15.75" customHeight="1">
      <c r="A84" s="30"/>
      <c r="B84" s="30"/>
      <c r="C84" s="30" t="s">
        <v>105</v>
      </c>
      <c r="D84" s="30" t="s">
        <v>106</v>
      </c>
      <c r="E84" s="30"/>
      <c r="F84" s="34">
        <v>300000</v>
      </c>
    </row>
    <row r="85" spans="1:6" ht="15.75" customHeight="1">
      <c r="A85" s="30"/>
      <c r="B85" s="30"/>
      <c r="C85" s="30" t="s">
        <v>49</v>
      </c>
      <c r="D85" s="30" t="s">
        <v>50</v>
      </c>
      <c r="E85" s="30"/>
      <c r="F85" s="34">
        <v>81000</v>
      </c>
    </row>
    <row r="86" spans="1:6" ht="15.75" customHeight="1">
      <c r="A86" s="30"/>
      <c r="B86" s="30"/>
      <c r="C86" s="30"/>
      <c r="D86" s="30"/>
      <c r="E86" s="30"/>
      <c r="F86" s="34"/>
    </row>
    <row r="87" spans="1:6" ht="15.75" customHeight="1">
      <c r="A87" s="180" t="s">
        <v>357</v>
      </c>
      <c r="B87" s="19"/>
      <c r="C87" s="19"/>
      <c r="D87" s="19"/>
      <c r="E87" s="181"/>
      <c r="F87" s="125">
        <f>SUM(F88)</f>
        <v>1206238</v>
      </c>
    </row>
    <row r="88" spans="1:6" ht="15.75" customHeight="1">
      <c r="A88" s="182" t="s">
        <v>8</v>
      </c>
      <c r="B88" s="29"/>
      <c r="C88" s="29" t="s">
        <v>9</v>
      </c>
      <c r="D88" s="30"/>
      <c r="E88" s="183"/>
      <c r="F88" s="100">
        <f>SUM(F89)</f>
        <v>1206238</v>
      </c>
    </row>
    <row r="89" spans="1:6" ht="15.75" customHeight="1">
      <c r="A89" s="184"/>
      <c r="B89" s="30"/>
      <c r="C89" s="30" t="s">
        <v>358</v>
      </c>
      <c r="D89" s="30" t="s">
        <v>359</v>
      </c>
      <c r="E89" s="183"/>
      <c r="F89" s="163">
        <v>1206238</v>
      </c>
    </row>
    <row r="90" spans="1:6" ht="15.75" customHeight="1">
      <c r="A90" s="30"/>
      <c r="B90" s="30"/>
      <c r="C90" s="30"/>
      <c r="D90" s="30"/>
      <c r="E90" s="30"/>
      <c r="F90" s="34"/>
    </row>
    <row r="91" spans="1:6" ht="15.75" customHeight="1">
      <c r="A91" s="10" t="s">
        <v>110</v>
      </c>
      <c r="B91" s="19"/>
      <c r="C91" s="19"/>
      <c r="D91" s="19"/>
      <c r="E91" s="19"/>
      <c r="F91" s="36">
        <f>F92</f>
        <v>97462365</v>
      </c>
    </row>
    <row r="92" spans="1:6" ht="15.75" customHeight="1">
      <c r="A92" s="29" t="s">
        <v>8</v>
      </c>
      <c r="B92" s="29"/>
      <c r="C92" s="29" t="s">
        <v>9</v>
      </c>
      <c r="D92" s="29"/>
      <c r="E92" s="29"/>
      <c r="F92" s="34">
        <f>SUM(F93:F95)</f>
        <v>97462365</v>
      </c>
    </row>
    <row r="93" spans="1:6" ht="15.75" customHeight="1">
      <c r="A93" s="30"/>
      <c r="B93" s="30"/>
      <c r="C93" s="30" t="s">
        <v>47</v>
      </c>
      <c r="D93" s="30" t="s">
        <v>111</v>
      </c>
      <c r="E93" s="30"/>
      <c r="F93" s="34">
        <v>30000000</v>
      </c>
    </row>
    <row r="94" spans="1:6" ht="15.75" customHeight="1">
      <c r="A94" s="30"/>
      <c r="B94" s="30"/>
      <c r="C94" s="30" t="s">
        <v>49</v>
      </c>
      <c r="D94" s="30" t="s">
        <v>50</v>
      </c>
      <c r="E94" s="30"/>
      <c r="F94" s="34">
        <v>8100000</v>
      </c>
    </row>
    <row r="95" spans="1:6" ht="15.75" customHeight="1">
      <c r="A95" s="30"/>
      <c r="B95" s="30"/>
      <c r="C95" s="30" t="s">
        <v>339</v>
      </c>
      <c r="D95" s="30" t="s">
        <v>342</v>
      </c>
      <c r="E95" s="30"/>
      <c r="F95" s="34">
        <v>59362365</v>
      </c>
    </row>
    <row r="96" spans="1:6" ht="15.75" customHeight="1">
      <c r="A96" s="30"/>
      <c r="B96" s="30"/>
      <c r="C96" s="30"/>
      <c r="D96" s="30"/>
      <c r="E96" s="30"/>
      <c r="F96" s="34"/>
    </row>
    <row r="97" spans="1:6" ht="15.75" customHeight="1">
      <c r="A97" s="10" t="s">
        <v>112</v>
      </c>
      <c r="B97" s="19"/>
      <c r="C97" s="19"/>
      <c r="D97" s="19"/>
      <c r="E97" s="19"/>
      <c r="F97" s="36">
        <f>SUM(F98)</f>
        <v>127000</v>
      </c>
    </row>
    <row r="98" spans="1:6" ht="15.75" customHeight="1">
      <c r="A98" s="29" t="s">
        <v>8</v>
      </c>
      <c r="B98" s="29"/>
      <c r="C98" s="29" t="s">
        <v>9</v>
      </c>
      <c r="D98" s="29"/>
      <c r="E98" s="29"/>
      <c r="F98" s="34">
        <f>SUM(F99:F100)</f>
        <v>127000</v>
      </c>
    </row>
    <row r="99" spans="1:6" ht="15.75" customHeight="1">
      <c r="A99" s="30"/>
      <c r="B99" s="30"/>
      <c r="C99" s="30" t="s">
        <v>47</v>
      </c>
      <c r="D99" s="30" t="s">
        <v>111</v>
      </c>
      <c r="E99" s="30"/>
      <c r="F99" s="34">
        <v>100000</v>
      </c>
    </row>
    <row r="100" spans="1:6" ht="15.75" customHeight="1">
      <c r="A100" s="30"/>
      <c r="B100" s="30"/>
      <c r="C100" s="30" t="s">
        <v>49</v>
      </c>
      <c r="D100" s="30" t="s">
        <v>50</v>
      </c>
      <c r="E100" s="30"/>
      <c r="F100" s="34">
        <v>27000</v>
      </c>
    </row>
    <row r="101" spans="1:6" ht="15.75" customHeight="1">
      <c r="A101" s="30"/>
      <c r="B101" s="30"/>
      <c r="C101" s="30"/>
      <c r="D101" s="30"/>
      <c r="E101" s="30"/>
      <c r="F101" s="34"/>
    </row>
    <row r="102" spans="1:6" ht="15.75" customHeight="1">
      <c r="A102" s="35"/>
      <c r="B102" s="35"/>
      <c r="C102" s="35" t="s">
        <v>113</v>
      </c>
      <c r="D102" s="35"/>
      <c r="E102" s="35"/>
      <c r="F102" s="36">
        <f>F11+F40+F51+F64+F82+F91+F97+F22+F35+F60+F77+F73+F87</f>
        <v>617400070</v>
      </c>
    </row>
    <row r="103" spans="1:6" ht="15.75" customHeight="1">
      <c r="A103" s="30"/>
      <c r="B103" s="30"/>
      <c r="C103" s="29"/>
      <c r="D103" s="30"/>
      <c r="E103" s="30"/>
      <c r="F103" s="37"/>
    </row>
    <row r="104" spans="1:6" ht="15.75" customHeight="1">
      <c r="A104" s="29" t="s">
        <v>4</v>
      </c>
      <c r="B104" s="29"/>
      <c r="C104" s="29" t="s">
        <v>5</v>
      </c>
      <c r="D104" s="29"/>
      <c r="E104" s="30"/>
      <c r="F104" s="34">
        <f>F52++F65+F73</f>
        <v>99108746</v>
      </c>
    </row>
    <row r="105" spans="1:6" ht="15.75" customHeight="1">
      <c r="A105" s="29" t="s">
        <v>13</v>
      </c>
      <c r="B105" s="29"/>
      <c r="C105" s="29" t="s">
        <v>14</v>
      </c>
      <c r="D105" s="29"/>
      <c r="E105" s="29"/>
      <c r="F105" s="34">
        <f>F41</f>
        <v>13000000</v>
      </c>
    </row>
    <row r="106" spans="1:6" ht="15.75" customHeight="1">
      <c r="A106" s="29" t="s">
        <v>6</v>
      </c>
      <c r="B106" s="29"/>
      <c r="C106" s="29" t="s">
        <v>7</v>
      </c>
      <c r="D106" s="29"/>
      <c r="E106" s="29"/>
      <c r="F106" s="34">
        <f>F23+F12</f>
        <v>121500000</v>
      </c>
    </row>
    <row r="107" spans="1:7" ht="15.75" customHeight="1">
      <c r="A107" s="29" t="s">
        <v>8</v>
      </c>
      <c r="B107" s="29"/>
      <c r="C107" s="29" t="s">
        <v>9</v>
      </c>
      <c r="D107" s="29"/>
      <c r="E107" s="29"/>
      <c r="F107" s="34">
        <f>F14+F43+F83+F92+F98+F36+F78+F88</f>
        <v>196931095</v>
      </c>
      <c r="G107" s="46"/>
    </row>
    <row r="108" spans="1:6" ht="15.75" customHeight="1">
      <c r="A108" s="29" t="s">
        <v>15</v>
      </c>
      <c r="B108" s="29"/>
      <c r="C108" s="29" t="s">
        <v>16</v>
      </c>
      <c r="D108" s="29"/>
      <c r="E108" s="29"/>
      <c r="F108" s="34">
        <f>F17</f>
        <v>600000</v>
      </c>
    </row>
    <row r="109" spans="1:6" ht="15.75" customHeight="1">
      <c r="A109" s="29" t="s">
        <v>10</v>
      </c>
      <c r="B109" s="29"/>
      <c r="C109" s="29" t="s">
        <v>11</v>
      </c>
      <c r="D109" s="29"/>
      <c r="E109" s="29"/>
      <c r="F109" s="34">
        <f>F19</f>
        <v>200000</v>
      </c>
    </row>
    <row r="110" spans="1:6" ht="15.75" customHeight="1">
      <c r="A110" s="29" t="s">
        <v>17</v>
      </c>
      <c r="B110" s="29"/>
      <c r="C110" s="29" t="s">
        <v>18</v>
      </c>
      <c r="D110" s="29"/>
      <c r="E110" s="29"/>
      <c r="F110" s="34">
        <v>0</v>
      </c>
    </row>
    <row r="111" spans="1:6" ht="15.75" customHeight="1">
      <c r="A111" s="29" t="s">
        <v>20</v>
      </c>
      <c r="B111" s="29"/>
      <c r="C111" s="29" t="s">
        <v>19</v>
      </c>
      <c r="D111" s="29"/>
      <c r="E111" s="29"/>
      <c r="F111" s="34">
        <f>F69+F62</f>
        <v>186060229</v>
      </c>
    </row>
    <row r="112" spans="1:6" ht="15.75" customHeight="1">
      <c r="A112" s="30"/>
      <c r="B112" s="30"/>
      <c r="C112" s="29" t="s">
        <v>113</v>
      </c>
      <c r="D112" s="30"/>
      <c r="E112" s="30"/>
      <c r="F112" s="37">
        <f>SUM(F104:F111)</f>
        <v>617400070</v>
      </c>
    </row>
  </sheetData>
  <sheetProtection selectLockedCells="1" selectUnlockedCells="1"/>
  <mergeCells count="8">
    <mergeCell ref="D42:E42"/>
    <mergeCell ref="A1:F1"/>
    <mergeCell ref="A2:F2"/>
    <mergeCell ref="A4:F4"/>
    <mergeCell ref="A5:F5"/>
    <mergeCell ref="A6:F6"/>
    <mergeCell ref="A9:E10"/>
    <mergeCell ref="F9:F10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1" r:id="rId1"/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7.00390625" style="1" customWidth="1"/>
    <col min="4" max="4" width="4.421875" style="1" customWidth="1"/>
    <col min="5" max="5" width="48.8515625" style="1" bestFit="1" customWidth="1"/>
    <col min="6" max="6" width="10.28125" style="1" customWidth="1"/>
    <col min="7" max="7" width="15.00390625" style="1" customWidth="1"/>
    <col min="8" max="16384" width="9.140625" style="1" customWidth="1"/>
  </cols>
  <sheetData>
    <row r="1" spans="1:7" ht="15.75">
      <c r="A1" s="206" t="s">
        <v>389</v>
      </c>
      <c r="B1" s="206"/>
      <c r="C1" s="206"/>
      <c r="D1" s="206"/>
      <c r="E1" s="206"/>
      <c r="F1" s="206"/>
      <c r="G1" s="206"/>
    </row>
    <row r="2" spans="1:7" ht="15.75" customHeight="1">
      <c r="A2" s="206"/>
      <c r="B2" s="206"/>
      <c r="C2" s="206"/>
      <c r="D2" s="206"/>
      <c r="E2" s="206"/>
      <c r="F2" s="206"/>
      <c r="G2" s="206"/>
    </row>
    <row r="3" spans="1:7" ht="15.75" customHeight="1">
      <c r="A3" s="25"/>
      <c r="B3" s="25"/>
      <c r="C3" s="25"/>
      <c r="D3" s="25"/>
      <c r="E3" s="3"/>
      <c r="F3" s="3"/>
      <c r="G3" s="3"/>
    </row>
    <row r="4" spans="1:7" ht="15.75" customHeight="1">
      <c r="A4" s="207" t="s">
        <v>0</v>
      </c>
      <c r="B4" s="207"/>
      <c r="C4" s="207"/>
      <c r="D4" s="207"/>
      <c r="E4" s="207"/>
      <c r="F4" s="207"/>
      <c r="G4" s="207"/>
    </row>
    <row r="5" spans="1:7" ht="15.75" customHeight="1">
      <c r="A5" s="207" t="s">
        <v>361</v>
      </c>
      <c r="B5" s="207"/>
      <c r="C5" s="207"/>
      <c r="D5" s="207"/>
      <c r="E5" s="207"/>
      <c r="F5" s="207"/>
      <c r="G5" s="207"/>
    </row>
    <row r="6" spans="1:7" ht="15.75" customHeight="1">
      <c r="A6" s="207" t="s">
        <v>114</v>
      </c>
      <c r="B6" s="207"/>
      <c r="C6" s="207"/>
      <c r="D6" s="207"/>
      <c r="E6" s="207"/>
      <c r="F6" s="207"/>
      <c r="G6" s="207"/>
    </row>
    <row r="7" spans="1:7" ht="15.75" customHeight="1">
      <c r="A7" s="25"/>
      <c r="B7" s="25"/>
      <c r="C7" s="25"/>
      <c r="D7" s="25"/>
      <c r="E7" s="26"/>
      <c r="F7" s="26"/>
      <c r="G7" s="26"/>
    </row>
    <row r="8" spans="1:7" ht="15.75" customHeight="1">
      <c r="A8" s="212" t="s">
        <v>115</v>
      </c>
      <c r="B8" s="212"/>
      <c r="C8" s="212"/>
      <c r="D8" s="212"/>
      <c r="E8" s="212"/>
      <c r="F8" s="212"/>
      <c r="G8" s="213" t="s">
        <v>2</v>
      </c>
    </row>
    <row r="9" spans="1:7" ht="15.75" customHeight="1">
      <c r="A9" s="212"/>
      <c r="B9" s="212"/>
      <c r="C9" s="212"/>
      <c r="D9" s="212"/>
      <c r="E9" s="212"/>
      <c r="F9" s="212"/>
      <c r="G9" s="213"/>
    </row>
    <row r="10" spans="1:7" ht="15.75" customHeight="1">
      <c r="A10" s="212"/>
      <c r="B10" s="212"/>
      <c r="C10" s="212"/>
      <c r="D10" s="212"/>
      <c r="E10" s="212"/>
      <c r="F10" s="212"/>
      <c r="G10" s="213"/>
    </row>
    <row r="11" spans="1:7" ht="15.75" customHeight="1">
      <c r="A11" s="35" t="s">
        <v>4</v>
      </c>
      <c r="B11" s="35"/>
      <c r="C11" s="35" t="s">
        <v>5</v>
      </c>
      <c r="D11" s="35"/>
      <c r="E11" s="35"/>
      <c r="F11" s="27"/>
      <c r="G11" s="28">
        <f>G12+G23</f>
        <v>99108746</v>
      </c>
    </row>
    <row r="12" spans="1:7" ht="15.75" customHeight="1">
      <c r="A12" s="30"/>
      <c r="B12" s="29" t="s">
        <v>84</v>
      </c>
      <c r="C12" s="29"/>
      <c r="D12" s="29" t="s">
        <v>85</v>
      </c>
      <c r="E12" s="29"/>
      <c r="F12" s="30"/>
      <c r="G12" s="37">
        <f>SUM(G13:G22)</f>
        <v>86751622</v>
      </c>
    </row>
    <row r="13" spans="1:7" ht="15.75" customHeight="1">
      <c r="A13" s="29"/>
      <c r="B13" s="29"/>
      <c r="C13" s="30" t="s">
        <v>86</v>
      </c>
      <c r="D13" s="30" t="s">
        <v>87</v>
      </c>
      <c r="E13" s="30"/>
      <c r="F13" s="30"/>
      <c r="G13" s="34">
        <f>F14+F15+F16+F17+F18</f>
        <v>33279625</v>
      </c>
    </row>
    <row r="14" spans="1:7" ht="15.75" customHeight="1">
      <c r="A14" s="29"/>
      <c r="B14" s="29"/>
      <c r="C14" s="30"/>
      <c r="D14" s="30"/>
      <c r="E14" s="30" t="s">
        <v>116</v>
      </c>
      <c r="F14" s="30">
        <v>5964840</v>
      </c>
      <c r="G14" s="34"/>
    </row>
    <row r="15" spans="1:7" ht="15.75" customHeight="1">
      <c r="A15" s="29"/>
      <c r="B15" s="29"/>
      <c r="C15" s="30"/>
      <c r="D15" s="30"/>
      <c r="E15" s="30" t="s">
        <v>117</v>
      </c>
      <c r="F15" s="30">
        <v>14720000</v>
      </c>
      <c r="G15" s="34"/>
    </row>
    <row r="16" spans="1:7" ht="15.75" customHeight="1">
      <c r="A16" s="29"/>
      <c r="B16" s="29"/>
      <c r="C16" s="30"/>
      <c r="D16" s="30"/>
      <c r="E16" s="30" t="s">
        <v>118</v>
      </c>
      <c r="F16" s="30">
        <v>812130</v>
      </c>
      <c r="G16" s="34"/>
    </row>
    <row r="17" spans="1:7" ht="15.75" customHeight="1">
      <c r="A17" s="29"/>
      <c r="B17" s="29"/>
      <c r="C17" s="30"/>
      <c r="D17" s="30"/>
      <c r="E17" s="30" t="s">
        <v>119</v>
      </c>
      <c r="F17" s="30">
        <v>3578655</v>
      </c>
      <c r="G17" s="34"/>
    </row>
    <row r="18" spans="1:7" ht="15.75" customHeight="1">
      <c r="A18" s="29"/>
      <c r="B18" s="29"/>
      <c r="C18" s="30"/>
      <c r="D18" s="30"/>
      <c r="E18" s="30" t="s">
        <v>372</v>
      </c>
      <c r="F18" s="30">
        <v>8204000</v>
      </c>
      <c r="G18" s="34"/>
    </row>
    <row r="19" spans="1:7" ht="15.75" customHeight="1">
      <c r="A19" s="30"/>
      <c r="B19" s="30"/>
      <c r="C19" s="30" t="s">
        <v>88</v>
      </c>
      <c r="D19" s="30" t="s">
        <v>120</v>
      </c>
      <c r="E19" s="30"/>
      <c r="F19" s="30"/>
      <c r="G19" s="34">
        <f>'2. Bevétel funkció'!F55</f>
        <v>23442820</v>
      </c>
    </row>
    <row r="20" spans="1:7" ht="15.75" customHeight="1">
      <c r="A20" s="30"/>
      <c r="B20" s="30"/>
      <c r="C20" s="30" t="s">
        <v>356</v>
      </c>
      <c r="D20" s="30" t="s">
        <v>121</v>
      </c>
      <c r="E20" s="30"/>
      <c r="F20" s="30"/>
      <c r="G20" s="34">
        <f>'2. Bevétel funkció'!F56</f>
        <v>5628000</v>
      </c>
    </row>
    <row r="21" spans="1:7" ht="15.75" customHeight="1">
      <c r="A21" s="30"/>
      <c r="B21" s="30"/>
      <c r="C21" s="30" t="s">
        <v>355</v>
      </c>
      <c r="D21" s="30" t="s">
        <v>354</v>
      </c>
      <c r="E21" s="30"/>
      <c r="F21" s="30"/>
      <c r="G21" s="34">
        <f>'2. Bevétel funkció'!F57</f>
        <v>21823217</v>
      </c>
    </row>
    <row r="22" spans="1:7" ht="15.75" customHeight="1">
      <c r="A22" s="30"/>
      <c r="B22" s="30"/>
      <c r="C22" s="30" t="s">
        <v>90</v>
      </c>
      <c r="D22" s="30" t="s">
        <v>91</v>
      </c>
      <c r="E22" s="30"/>
      <c r="F22" s="30"/>
      <c r="G22" s="34">
        <f>'2. Bevétel funkció'!F58</f>
        <v>2577960</v>
      </c>
    </row>
    <row r="23" spans="1:7" ht="15.75" customHeight="1">
      <c r="A23" s="30"/>
      <c r="B23" s="29" t="s">
        <v>46</v>
      </c>
      <c r="C23" s="29"/>
      <c r="D23" s="29" t="s">
        <v>97</v>
      </c>
      <c r="E23" s="29"/>
      <c r="F23" s="30"/>
      <c r="G23" s="37">
        <f>SUM(G24:G26)</f>
        <v>12357124</v>
      </c>
    </row>
    <row r="24" spans="1:7" ht="15.75" customHeight="1">
      <c r="A24" s="30"/>
      <c r="B24" s="30"/>
      <c r="C24" s="30"/>
      <c r="D24" s="196" t="s">
        <v>122</v>
      </c>
      <c r="E24" s="196"/>
      <c r="F24" s="30"/>
      <c r="G24" s="34">
        <f>'2. Bevétel funkció'!F67</f>
        <v>2825339</v>
      </c>
    </row>
    <row r="25" spans="1:7" ht="15.75" customHeight="1">
      <c r="A25" s="30"/>
      <c r="B25" s="30"/>
      <c r="C25" s="30"/>
      <c r="D25" s="196" t="s">
        <v>326</v>
      </c>
      <c r="E25" s="196"/>
      <c r="F25" s="30"/>
      <c r="G25" s="34">
        <f>'2. Bevétel funkció'!F68</f>
        <v>7035600</v>
      </c>
    </row>
    <row r="26" spans="1:7" ht="15.75" customHeight="1">
      <c r="A26" s="30"/>
      <c r="B26" s="30"/>
      <c r="C26" s="30"/>
      <c r="D26" s="30"/>
      <c r="E26" s="30" t="s">
        <v>344</v>
      </c>
      <c r="F26" s="30"/>
      <c r="G26" s="34">
        <f>'2. Bevétel funkció'!F75</f>
        <v>2496185</v>
      </c>
    </row>
    <row r="27" spans="1:7" ht="15.75" customHeight="1">
      <c r="A27" s="30"/>
      <c r="B27" s="30"/>
      <c r="C27" s="30"/>
      <c r="D27" s="30"/>
      <c r="E27" s="30"/>
      <c r="F27" s="30"/>
      <c r="G27" s="34"/>
    </row>
    <row r="28" spans="1:7" ht="15.75" customHeight="1">
      <c r="A28" s="35" t="s">
        <v>13</v>
      </c>
      <c r="B28" s="35"/>
      <c r="C28" s="35" t="s">
        <v>14</v>
      </c>
      <c r="D28" s="35"/>
      <c r="E28" s="35"/>
      <c r="F28" s="35"/>
      <c r="G28" s="36">
        <f>G29</f>
        <v>13000000</v>
      </c>
    </row>
    <row r="29" spans="1:7" ht="15.75" customHeight="1">
      <c r="A29" s="30"/>
      <c r="B29" s="29" t="s">
        <v>92</v>
      </c>
      <c r="C29" s="29"/>
      <c r="D29" s="29" t="s">
        <v>123</v>
      </c>
      <c r="E29" s="29"/>
      <c r="F29" s="30"/>
      <c r="G29" s="38">
        <f>'2. Bevétel funkció'!F105</f>
        <v>13000000</v>
      </c>
    </row>
    <row r="30" spans="1:7" ht="15.75" customHeight="1">
      <c r="A30" s="30"/>
      <c r="B30" s="30"/>
      <c r="C30" s="30"/>
      <c r="D30" s="30"/>
      <c r="E30" s="30"/>
      <c r="F30" s="30"/>
      <c r="G30" s="38"/>
    </row>
    <row r="31" spans="1:7" ht="15.75" customHeight="1">
      <c r="A31" s="35" t="s">
        <v>6</v>
      </c>
      <c r="B31" s="35"/>
      <c r="C31" s="35" t="s">
        <v>7</v>
      </c>
      <c r="D31" s="35"/>
      <c r="E31" s="35"/>
      <c r="F31" s="35"/>
      <c r="G31" s="36">
        <f>G32+G35+G40</f>
        <v>121500000</v>
      </c>
    </row>
    <row r="32" spans="1:7" ht="15.75" customHeight="1">
      <c r="A32" s="30"/>
      <c r="B32" s="29" t="s">
        <v>58</v>
      </c>
      <c r="C32" s="29"/>
      <c r="D32" s="29" t="s">
        <v>59</v>
      </c>
      <c r="E32" s="29"/>
      <c r="F32" s="30"/>
      <c r="G32" s="37">
        <f>SUM(G33:G34)</f>
        <v>62000000</v>
      </c>
    </row>
    <row r="33" spans="1:7" ht="15.75" customHeight="1">
      <c r="A33" s="30"/>
      <c r="B33" s="30"/>
      <c r="C33" s="30" t="s">
        <v>60</v>
      </c>
      <c r="D33" s="30"/>
      <c r="E33" s="30" t="s">
        <v>61</v>
      </c>
      <c r="F33" s="30"/>
      <c r="G33" s="34">
        <f>'2. Bevétel funkció'!F25</f>
        <v>50000000</v>
      </c>
    </row>
    <row r="34" spans="1:7" ht="15.75" customHeight="1">
      <c r="A34" s="29"/>
      <c r="B34" s="29"/>
      <c r="C34" s="30" t="s">
        <v>62</v>
      </c>
      <c r="D34" s="29"/>
      <c r="E34" s="30" t="s">
        <v>63</v>
      </c>
      <c r="F34" s="30"/>
      <c r="G34" s="34">
        <f>'2. Bevétel funkció'!F26</f>
        <v>12000000</v>
      </c>
    </row>
    <row r="35" spans="1:7" ht="15.75" customHeight="1">
      <c r="A35" s="29"/>
      <c r="B35" s="29" t="s">
        <v>64</v>
      </c>
      <c r="C35" s="29"/>
      <c r="D35" s="29" t="s">
        <v>65</v>
      </c>
      <c r="E35" s="29"/>
      <c r="F35" s="30"/>
      <c r="G35" s="37">
        <f>G36+G38</f>
        <v>46000000</v>
      </c>
    </row>
    <row r="36" spans="1:7" ht="15.75" customHeight="1">
      <c r="A36" s="29"/>
      <c r="B36" s="30"/>
      <c r="C36" s="30" t="s">
        <v>66</v>
      </c>
      <c r="D36" s="30" t="s">
        <v>67</v>
      </c>
      <c r="E36" s="30"/>
      <c r="F36" s="30"/>
      <c r="G36" s="34">
        <f>G37</f>
        <v>26000000</v>
      </c>
    </row>
    <row r="37" spans="1:7" ht="15.75" customHeight="1">
      <c r="A37" s="29"/>
      <c r="B37" s="30"/>
      <c r="C37" s="30"/>
      <c r="D37" s="30"/>
      <c r="E37" s="30" t="s">
        <v>68</v>
      </c>
      <c r="F37" s="30"/>
      <c r="G37" s="34">
        <f>'2. Bevétel funkció'!F29</f>
        <v>26000000</v>
      </c>
    </row>
    <row r="38" spans="1:7" ht="15.75" customHeight="1">
      <c r="A38" s="29"/>
      <c r="B38" s="30"/>
      <c r="C38" s="30" t="s">
        <v>69</v>
      </c>
      <c r="D38" s="30" t="s">
        <v>70</v>
      </c>
      <c r="E38" s="30"/>
      <c r="F38" s="30"/>
      <c r="G38" s="34">
        <f>SUM(G39:G39)</f>
        <v>20000000</v>
      </c>
    </row>
    <row r="39" spans="1:7" ht="15.75" customHeight="1">
      <c r="A39" s="29"/>
      <c r="B39" s="30"/>
      <c r="C39" s="30"/>
      <c r="D39" s="30"/>
      <c r="E39" s="30" t="s">
        <v>71</v>
      </c>
      <c r="F39" s="30"/>
      <c r="G39" s="34">
        <f>'2. Bevétel funkció'!F31</f>
        <v>20000000</v>
      </c>
    </row>
    <row r="40" spans="1:7" ht="15.75" customHeight="1">
      <c r="A40" s="30"/>
      <c r="B40" s="29" t="s">
        <v>72</v>
      </c>
      <c r="C40" s="30"/>
      <c r="D40" s="29" t="s">
        <v>73</v>
      </c>
      <c r="E40" s="30"/>
      <c r="F40" s="30"/>
      <c r="G40" s="37">
        <f>G41</f>
        <v>13500000</v>
      </c>
    </row>
    <row r="41" spans="1:7" ht="15.75" customHeight="1">
      <c r="A41" s="30"/>
      <c r="B41" s="30"/>
      <c r="C41" s="30" t="s">
        <v>124</v>
      </c>
      <c r="D41" s="30"/>
      <c r="E41" s="30" t="s">
        <v>75</v>
      </c>
      <c r="F41" s="30"/>
      <c r="G41" s="34">
        <v>13500000</v>
      </c>
    </row>
    <row r="42" spans="1:7" ht="15.75" customHeight="1">
      <c r="A42" s="30"/>
      <c r="B42" s="30"/>
      <c r="C42" s="30"/>
      <c r="D42" s="30"/>
      <c r="E42" s="30"/>
      <c r="F42" s="30"/>
      <c r="G42" s="34"/>
    </row>
    <row r="43" spans="1:7" ht="15.75" customHeight="1">
      <c r="A43" s="30"/>
      <c r="B43" s="30"/>
      <c r="C43" s="30"/>
      <c r="D43" s="30"/>
      <c r="E43" s="30"/>
      <c r="F43" s="30"/>
      <c r="G43" s="34"/>
    </row>
    <row r="44" spans="1:7" ht="15.75" customHeight="1">
      <c r="A44" s="35" t="s">
        <v>8</v>
      </c>
      <c r="B44" s="35"/>
      <c r="C44" s="35" t="s">
        <v>9</v>
      </c>
      <c r="D44" s="35"/>
      <c r="E44" s="35"/>
      <c r="F44" s="27"/>
      <c r="G44" s="28">
        <f>G45+G46+G54+G55+G57+G56+G58</f>
        <v>196931095</v>
      </c>
    </row>
    <row r="45" spans="1:7" s="160" customFormat="1" ht="15.75" customHeight="1">
      <c r="A45" s="157"/>
      <c r="B45" s="157"/>
      <c r="C45" s="30" t="s">
        <v>105</v>
      </c>
      <c r="D45" s="30" t="s">
        <v>126</v>
      </c>
      <c r="E45" s="30"/>
      <c r="F45" s="158"/>
      <c r="G45" s="159">
        <f>'2. Bevétel funkció'!F84</f>
        <v>300000</v>
      </c>
    </row>
    <row r="46" spans="1:7" s="160" customFormat="1" ht="15.75" customHeight="1">
      <c r="A46" s="157"/>
      <c r="B46" s="157"/>
      <c r="C46" s="30" t="s">
        <v>47</v>
      </c>
      <c r="D46" s="30" t="s">
        <v>77</v>
      </c>
      <c r="E46" s="30"/>
      <c r="F46" s="158"/>
      <c r="G46" s="159">
        <f>SUM(G47:G53)</f>
        <v>104050000</v>
      </c>
    </row>
    <row r="47" spans="1:7" s="160" customFormat="1" ht="15.75" customHeight="1">
      <c r="A47" s="157"/>
      <c r="B47" s="157"/>
      <c r="C47" s="157"/>
      <c r="D47" s="210" t="s">
        <v>306</v>
      </c>
      <c r="E47" s="211"/>
      <c r="F47" s="158"/>
      <c r="G47" s="161">
        <f>'2. Bevétel funkció'!F37</f>
        <v>50000</v>
      </c>
    </row>
    <row r="48" spans="1:7" s="160" customFormat="1" ht="15.75" customHeight="1">
      <c r="A48" s="157"/>
      <c r="B48" s="157"/>
      <c r="C48" s="157"/>
      <c r="D48" s="210" t="s">
        <v>307</v>
      </c>
      <c r="E48" s="211"/>
      <c r="F48" s="158"/>
      <c r="G48" s="161">
        <f>'2. Bevétel funkció'!F15</f>
        <v>200000</v>
      </c>
    </row>
    <row r="49" spans="1:7" s="160" customFormat="1" ht="15.75" customHeight="1">
      <c r="A49" s="157"/>
      <c r="B49" s="157"/>
      <c r="C49" s="157"/>
      <c r="D49" s="210" t="s">
        <v>79</v>
      </c>
      <c r="E49" s="211"/>
      <c r="F49" s="158"/>
      <c r="G49" s="161">
        <f>'2. Bevétel funkció'!F45</f>
        <v>73000000</v>
      </c>
    </row>
    <row r="50" spans="1:7" s="160" customFormat="1" ht="15.75" customHeight="1">
      <c r="A50" s="157"/>
      <c r="B50" s="157"/>
      <c r="C50" s="157"/>
      <c r="D50" s="210" t="s">
        <v>310</v>
      </c>
      <c r="E50" s="211"/>
      <c r="F50" s="158"/>
      <c r="G50" s="161">
        <f>'2. Bevétel funkció'!F79</f>
        <v>400000</v>
      </c>
    </row>
    <row r="51" spans="1:7" s="160" customFormat="1" ht="15.75" customHeight="1">
      <c r="A51" s="157"/>
      <c r="B51" s="157"/>
      <c r="C51" s="157"/>
      <c r="D51" s="210" t="s">
        <v>80</v>
      </c>
      <c r="E51" s="211"/>
      <c r="F51" s="158"/>
      <c r="G51" s="161">
        <f>'2. Bevétel funkció'!F46</f>
        <v>300000</v>
      </c>
    </row>
    <row r="52" spans="1:7" s="160" customFormat="1" ht="15.75" customHeight="1">
      <c r="A52" s="157"/>
      <c r="B52" s="157"/>
      <c r="C52" s="157"/>
      <c r="D52" s="210" t="s">
        <v>308</v>
      </c>
      <c r="E52" s="211"/>
      <c r="F52" s="158"/>
      <c r="G52" s="161">
        <f>'2. Bevétel funkció'!F93</f>
        <v>30000000</v>
      </c>
    </row>
    <row r="53" spans="1:7" s="160" customFormat="1" ht="15.75" customHeight="1">
      <c r="A53" s="157"/>
      <c r="B53" s="157"/>
      <c r="C53" s="157"/>
      <c r="D53" s="210" t="s">
        <v>309</v>
      </c>
      <c r="E53" s="211"/>
      <c r="F53" s="158"/>
      <c r="G53" s="161">
        <f>'2. Bevétel funkció'!F99</f>
        <v>100000</v>
      </c>
    </row>
    <row r="54" spans="1:7" s="160" customFormat="1" ht="15.75" customHeight="1">
      <c r="A54" s="157"/>
      <c r="B54" s="157"/>
      <c r="C54" s="30" t="s">
        <v>81</v>
      </c>
      <c r="D54" s="30" t="s">
        <v>125</v>
      </c>
      <c r="E54" s="30"/>
      <c r="F54" s="158"/>
      <c r="G54" s="161">
        <f>'2. Bevétel funkció'!F47</f>
        <v>1200000</v>
      </c>
    </row>
    <row r="55" spans="1:7" s="160" customFormat="1" ht="15.75" customHeight="1">
      <c r="A55" s="157"/>
      <c r="B55" s="157"/>
      <c r="C55" s="30" t="s">
        <v>49</v>
      </c>
      <c r="D55" s="30" t="s">
        <v>50</v>
      </c>
      <c r="E55" s="30"/>
      <c r="F55" s="158"/>
      <c r="G55" s="161">
        <f>'2. Bevétel funkció'!F38+'2. Bevétel funkció'!F48+'2. Bevétel funkció'!F80+'2. Bevétel funkció'!F85+'2. Bevétel funkció'!F94+'2. Bevétel funkció'!F100</f>
        <v>27829500</v>
      </c>
    </row>
    <row r="56" spans="1:7" s="160" customFormat="1" ht="15.75" customHeight="1">
      <c r="A56" s="157"/>
      <c r="B56" s="157"/>
      <c r="C56" s="30" t="s">
        <v>339</v>
      </c>
      <c r="D56" s="30" t="s">
        <v>342</v>
      </c>
      <c r="E56" s="30"/>
      <c r="F56" s="158"/>
      <c r="G56" s="161">
        <f>'2. Bevétel funkció'!F95+'2. Bevétel funkció'!F49</f>
        <v>62344357</v>
      </c>
    </row>
    <row r="57" spans="1:7" ht="15.75" customHeight="1">
      <c r="A57" s="30"/>
      <c r="B57" s="30"/>
      <c r="C57" s="30" t="s">
        <v>51</v>
      </c>
      <c r="D57" s="30" t="s">
        <v>52</v>
      </c>
      <c r="E57" s="30"/>
      <c r="F57" s="33"/>
      <c r="G57" s="32">
        <f>'2. Bevétel funkció'!F16</f>
        <v>1000</v>
      </c>
    </row>
    <row r="58" spans="1:7" ht="15.75" customHeight="1">
      <c r="A58" s="30"/>
      <c r="B58" s="30"/>
      <c r="C58" s="30" t="s">
        <v>358</v>
      </c>
      <c r="D58" s="30" t="s">
        <v>359</v>
      </c>
      <c r="E58" s="30"/>
      <c r="F58" s="33"/>
      <c r="G58" s="32">
        <f>'2. Bevétel funkció'!F89</f>
        <v>1206238</v>
      </c>
    </row>
    <row r="59" spans="1:7" ht="15.75" customHeight="1">
      <c r="A59" s="30"/>
      <c r="B59" s="30"/>
      <c r="C59" s="30"/>
      <c r="D59" s="30"/>
      <c r="E59" s="30"/>
      <c r="F59" s="30"/>
      <c r="G59" s="34"/>
    </row>
    <row r="60" spans="1:7" ht="15.75" customHeight="1">
      <c r="A60" s="35" t="s">
        <v>15</v>
      </c>
      <c r="B60" s="35"/>
      <c r="C60" s="35" t="s">
        <v>16</v>
      </c>
      <c r="D60" s="35"/>
      <c r="E60" s="35"/>
      <c r="F60" s="48"/>
      <c r="G60" s="28">
        <f>SUM(G61:G61)</f>
        <v>600000</v>
      </c>
    </row>
    <row r="61" spans="1:7" ht="15.75" customHeight="1">
      <c r="A61" s="30"/>
      <c r="B61" s="30" t="s">
        <v>53</v>
      </c>
      <c r="C61" s="30"/>
      <c r="D61" s="30" t="s">
        <v>54</v>
      </c>
      <c r="E61" s="30"/>
      <c r="F61" s="47"/>
      <c r="G61" s="32">
        <v>600000</v>
      </c>
    </row>
    <row r="62" spans="1:7" ht="15.75" customHeight="1">
      <c r="A62" s="30"/>
      <c r="B62" s="30"/>
      <c r="C62" s="30"/>
      <c r="D62" s="30"/>
      <c r="E62" s="30"/>
      <c r="F62" s="47"/>
      <c r="G62" s="32"/>
    </row>
    <row r="63" spans="1:7" ht="15.75" customHeight="1">
      <c r="A63" s="35" t="s">
        <v>10</v>
      </c>
      <c r="B63" s="35"/>
      <c r="C63" s="35" t="s">
        <v>11</v>
      </c>
      <c r="D63" s="35"/>
      <c r="E63" s="35"/>
      <c r="F63" s="48"/>
      <c r="G63" s="28">
        <f>SUM(G64:G64)</f>
        <v>200000</v>
      </c>
    </row>
    <row r="64" spans="1:7" ht="15.75" customHeight="1">
      <c r="A64" s="30"/>
      <c r="B64" s="30" t="s">
        <v>55</v>
      </c>
      <c r="C64" s="30"/>
      <c r="D64" s="30" t="s">
        <v>127</v>
      </c>
      <c r="E64" s="30"/>
      <c r="F64" s="47"/>
      <c r="G64" s="32">
        <f>'2. Bevétel funkció'!F19</f>
        <v>200000</v>
      </c>
    </row>
    <row r="65" spans="1:7" ht="15.75" customHeight="1">
      <c r="A65" s="30"/>
      <c r="B65" s="30"/>
      <c r="C65" s="30"/>
      <c r="D65" s="30"/>
      <c r="E65" s="30"/>
      <c r="F65" s="47"/>
      <c r="G65" s="32"/>
    </row>
    <row r="66" spans="1:7" ht="15.75" customHeight="1">
      <c r="A66" s="49" t="s">
        <v>17</v>
      </c>
      <c r="B66" s="49"/>
      <c r="C66" s="49" t="s">
        <v>18</v>
      </c>
      <c r="D66" s="49"/>
      <c r="E66" s="49"/>
      <c r="F66" s="50"/>
      <c r="G66" s="51">
        <f>G67</f>
        <v>0</v>
      </c>
    </row>
    <row r="67" spans="1:7" ht="15.75" customHeight="1">
      <c r="A67" s="29" t="s">
        <v>17</v>
      </c>
      <c r="B67" s="29"/>
      <c r="C67" s="29" t="s">
        <v>16</v>
      </c>
      <c r="D67" s="30"/>
      <c r="E67" s="30"/>
      <c r="F67" s="37"/>
      <c r="G67" s="175">
        <f>G68</f>
        <v>0</v>
      </c>
    </row>
    <row r="68" spans="1:7" ht="15.75" customHeight="1">
      <c r="A68" s="30"/>
      <c r="B68" s="30"/>
      <c r="C68" s="30" t="s">
        <v>340</v>
      </c>
      <c r="D68" s="30" t="s">
        <v>341</v>
      </c>
      <c r="E68" s="30"/>
      <c r="F68" s="34"/>
      <c r="G68" s="176">
        <v>0</v>
      </c>
    </row>
    <row r="69" spans="1:7" ht="18.75" customHeight="1">
      <c r="A69" s="30"/>
      <c r="B69" s="30"/>
      <c r="C69" s="30"/>
      <c r="D69" s="30"/>
      <c r="E69" s="30"/>
      <c r="F69" s="30"/>
      <c r="G69" s="34"/>
    </row>
    <row r="70" spans="1:7" ht="15.75" customHeight="1">
      <c r="A70" s="35" t="s">
        <v>20</v>
      </c>
      <c r="B70" s="35"/>
      <c r="C70" s="35" t="s">
        <v>19</v>
      </c>
      <c r="D70" s="35"/>
      <c r="E70" s="35"/>
      <c r="F70" s="48"/>
      <c r="G70" s="28">
        <f>G71</f>
        <v>186060229</v>
      </c>
    </row>
    <row r="71" spans="1:7" ht="15.75" customHeight="1">
      <c r="A71" s="30"/>
      <c r="B71" s="29" t="s">
        <v>99</v>
      </c>
      <c r="C71" s="29"/>
      <c r="D71" s="29" t="s">
        <v>100</v>
      </c>
      <c r="E71" s="29"/>
      <c r="F71" s="47"/>
      <c r="G71" s="31">
        <f>G72+G73</f>
        <v>186060229</v>
      </c>
    </row>
    <row r="72" spans="1:7" ht="15.75" customHeight="1">
      <c r="A72" s="30"/>
      <c r="B72" s="30"/>
      <c r="C72" s="30" t="s">
        <v>101</v>
      </c>
      <c r="D72" s="30"/>
      <c r="E72" s="30" t="s">
        <v>102</v>
      </c>
      <c r="F72" s="47"/>
      <c r="G72" s="32">
        <f>'2. Bevétel funkció'!F71</f>
        <v>179590164</v>
      </c>
    </row>
    <row r="73" spans="1:7" ht="15.75" customHeight="1">
      <c r="A73" s="30"/>
      <c r="B73" s="30"/>
      <c r="C73" s="30" t="s">
        <v>128</v>
      </c>
      <c r="D73" s="30"/>
      <c r="E73" s="30" t="s">
        <v>129</v>
      </c>
      <c r="F73" s="30"/>
      <c r="G73" s="34">
        <f>'2. Bevétel funkció'!F62</f>
        <v>6470065</v>
      </c>
    </row>
    <row r="74" spans="1:7" ht="15.75" customHeight="1">
      <c r="A74" s="35"/>
      <c r="B74" s="35"/>
      <c r="C74" s="35" t="s">
        <v>113</v>
      </c>
      <c r="D74" s="35"/>
      <c r="E74" s="35"/>
      <c r="F74" s="35"/>
      <c r="G74" s="36">
        <f>G11+G28+G31+G44+G60+G63+G66+G70</f>
        <v>617400070</v>
      </c>
    </row>
  </sheetData>
  <sheetProtection selectLockedCells="1" selectUnlockedCells="1"/>
  <mergeCells count="14">
    <mergeCell ref="A1:G1"/>
    <mergeCell ref="A2:G2"/>
    <mergeCell ref="A4:G4"/>
    <mergeCell ref="A5:G5"/>
    <mergeCell ref="A6:G6"/>
    <mergeCell ref="A8:F10"/>
    <mergeCell ref="G8:G10"/>
    <mergeCell ref="D47:E47"/>
    <mergeCell ref="D48:E48"/>
    <mergeCell ref="D49:E49"/>
    <mergeCell ref="D51:E51"/>
    <mergeCell ref="D52:E52"/>
    <mergeCell ref="D53:E53"/>
    <mergeCell ref="D50:E50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86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6" width="14.00390625" style="1" bestFit="1" customWidth="1"/>
    <col min="7" max="7" width="9.421875" style="1" customWidth="1"/>
    <col min="8" max="8" width="14.00390625" style="1" bestFit="1" customWidth="1"/>
    <col min="9" max="16384" width="9.140625" style="1" customWidth="1"/>
  </cols>
  <sheetData>
    <row r="1" spans="1:8" ht="15.75">
      <c r="A1" s="214" t="s">
        <v>390</v>
      </c>
      <c r="B1" s="214"/>
      <c r="C1" s="214"/>
      <c r="D1" s="214"/>
      <c r="E1" s="214"/>
      <c r="F1" s="214"/>
      <c r="G1" s="214"/>
      <c r="H1" s="214"/>
    </row>
    <row r="2" spans="1:8" ht="15.75">
      <c r="A2" s="214"/>
      <c r="B2" s="214"/>
      <c r="C2" s="214"/>
      <c r="D2" s="214"/>
      <c r="E2" s="214"/>
      <c r="F2" s="214"/>
      <c r="G2" s="214"/>
      <c r="H2" s="214"/>
    </row>
    <row r="3" spans="1:8" ht="15.75">
      <c r="A3" s="52"/>
      <c r="B3" s="52"/>
      <c r="C3" s="52"/>
      <c r="D3" s="3"/>
      <c r="E3" s="3"/>
      <c r="F3" s="3"/>
      <c r="G3" s="3"/>
      <c r="H3" s="3"/>
    </row>
    <row r="4" spans="1:8" ht="15.75">
      <c r="A4" s="207" t="s">
        <v>0</v>
      </c>
      <c r="B4" s="207"/>
      <c r="C4" s="207"/>
      <c r="D4" s="207"/>
      <c r="E4" s="207"/>
      <c r="F4" s="207"/>
      <c r="G4" s="207"/>
      <c r="H4" s="207"/>
    </row>
    <row r="5" spans="1:8" ht="15.75">
      <c r="A5" s="215" t="s">
        <v>363</v>
      </c>
      <c r="B5" s="215"/>
      <c r="C5" s="215"/>
      <c r="D5" s="215"/>
      <c r="E5" s="215"/>
      <c r="F5" s="215"/>
      <c r="G5" s="215"/>
      <c r="H5" s="215"/>
    </row>
    <row r="6" spans="1:8" ht="15.75">
      <c r="A6" s="215" t="s">
        <v>130</v>
      </c>
      <c r="B6" s="215"/>
      <c r="C6" s="215"/>
      <c r="D6" s="215"/>
      <c r="E6" s="215"/>
      <c r="F6" s="215"/>
      <c r="G6" s="215"/>
      <c r="H6" s="215"/>
    </row>
    <row r="7" spans="4:8" ht="15.75">
      <c r="D7" s="53"/>
      <c r="E7" s="216" t="s">
        <v>131</v>
      </c>
      <c r="F7" s="216"/>
      <c r="G7" s="216"/>
      <c r="H7" s="216"/>
    </row>
    <row r="8" spans="1:8" ht="12.75" customHeight="1">
      <c r="A8" s="217" t="s">
        <v>132</v>
      </c>
      <c r="B8" s="217"/>
      <c r="C8" s="217"/>
      <c r="D8" s="217"/>
      <c r="E8" s="218" t="s">
        <v>133</v>
      </c>
      <c r="F8" s="218" t="s">
        <v>134</v>
      </c>
      <c r="G8" s="218" t="s">
        <v>135</v>
      </c>
      <c r="H8" s="218" t="s">
        <v>136</v>
      </c>
    </row>
    <row r="9" spans="1:8" ht="15.75">
      <c r="A9" s="217"/>
      <c r="B9" s="217"/>
      <c r="C9" s="217"/>
      <c r="D9" s="217"/>
      <c r="E9" s="218"/>
      <c r="F9" s="218"/>
      <c r="G9" s="218"/>
      <c r="H9" s="218"/>
    </row>
    <row r="10" spans="1:8" ht="27" customHeight="1">
      <c r="A10" s="217"/>
      <c r="B10" s="217"/>
      <c r="C10" s="217"/>
      <c r="D10" s="217"/>
      <c r="E10" s="218"/>
      <c r="F10" s="218"/>
      <c r="G10" s="218"/>
      <c r="H10" s="218"/>
    </row>
    <row r="11" spans="1:9" ht="15.75">
      <c r="A11" s="219" t="s">
        <v>137</v>
      </c>
      <c r="B11" s="219"/>
      <c r="C11" s="219"/>
      <c r="D11" s="219"/>
      <c r="E11" s="55">
        <f>'2. Bevétel funkció'!F11</f>
        <v>14001000</v>
      </c>
      <c r="F11" s="56"/>
      <c r="G11" s="56"/>
      <c r="H11" s="55">
        <f aca="true" t="shared" si="0" ref="H11:H27">E11+F11+G11</f>
        <v>14001000</v>
      </c>
      <c r="I11" s="57"/>
    </row>
    <row r="12" spans="1:9" ht="15.75">
      <c r="A12" s="58" t="s">
        <v>138</v>
      </c>
      <c r="B12" s="58"/>
      <c r="C12" s="58"/>
      <c r="D12" s="58"/>
      <c r="E12" s="59">
        <f>'2. Bevétel funkció'!F22</f>
        <v>108500000</v>
      </c>
      <c r="F12" s="59"/>
      <c r="G12" s="60"/>
      <c r="H12" s="55">
        <f t="shared" si="0"/>
        <v>108500000</v>
      </c>
      <c r="I12" s="61"/>
    </row>
    <row r="13" spans="1:9" ht="15.75">
      <c r="A13" s="219" t="s">
        <v>139</v>
      </c>
      <c r="B13" s="219"/>
      <c r="C13" s="219"/>
      <c r="D13" s="219"/>
      <c r="E13" s="55">
        <f>'2. Bevétel funkció'!F35</f>
        <v>63500</v>
      </c>
      <c r="F13" s="55"/>
      <c r="G13" s="62"/>
      <c r="H13" s="55">
        <f t="shared" si="0"/>
        <v>63500</v>
      </c>
      <c r="I13" s="61"/>
    </row>
    <row r="14" spans="1:9" ht="15.75">
      <c r="A14" s="219" t="s">
        <v>140</v>
      </c>
      <c r="B14" s="219"/>
      <c r="C14" s="219"/>
      <c r="D14" s="219"/>
      <c r="E14" s="55">
        <f>'2. Bevétel funkció'!F40</f>
        <v>109981992</v>
      </c>
      <c r="F14" s="55"/>
      <c r="G14" s="62"/>
      <c r="H14" s="55">
        <f t="shared" si="0"/>
        <v>109981992</v>
      </c>
      <c r="I14" s="61"/>
    </row>
    <row r="15" spans="1:9" ht="15.75">
      <c r="A15" s="220" t="s">
        <v>141</v>
      </c>
      <c r="B15" s="220"/>
      <c r="C15" s="220"/>
      <c r="D15" s="220"/>
      <c r="E15" s="59">
        <f>'2. Bevétel funkció'!F51</f>
        <v>86751622</v>
      </c>
      <c r="F15" s="59"/>
      <c r="G15" s="60"/>
      <c r="H15" s="55">
        <f t="shared" si="0"/>
        <v>86751622</v>
      </c>
      <c r="I15" s="61"/>
    </row>
    <row r="16" spans="1:9" ht="15.75">
      <c r="A16" s="58" t="s">
        <v>142</v>
      </c>
      <c r="B16" s="58"/>
      <c r="C16" s="58"/>
      <c r="D16" s="58"/>
      <c r="E16" s="59">
        <f>'2. Bevétel funkció'!F60</f>
        <v>6470065</v>
      </c>
      <c r="F16" s="59"/>
      <c r="G16" s="60"/>
      <c r="H16" s="55">
        <f t="shared" si="0"/>
        <v>6470065</v>
      </c>
      <c r="I16" s="61"/>
    </row>
    <row r="17" spans="1:9" ht="15.75">
      <c r="A17" s="220" t="s">
        <v>143</v>
      </c>
      <c r="B17" s="220"/>
      <c r="C17" s="220"/>
      <c r="D17" s="220"/>
      <c r="E17" s="59">
        <f>'2. Bevétel funkció'!F64</f>
        <v>189451103</v>
      </c>
      <c r="F17" s="59"/>
      <c r="G17" s="60"/>
      <c r="H17" s="55">
        <f t="shared" si="0"/>
        <v>189451103</v>
      </c>
      <c r="I17" s="61"/>
    </row>
    <row r="18" spans="1:9" ht="15.75">
      <c r="A18" s="58" t="s">
        <v>144</v>
      </c>
      <c r="B18" s="58"/>
      <c r="C18" s="58"/>
      <c r="D18" s="58"/>
      <c r="E18" s="59"/>
      <c r="F18" s="59"/>
      <c r="G18" s="60"/>
      <c r="H18" s="55">
        <f t="shared" si="0"/>
        <v>0</v>
      </c>
      <c r="I18" s="61"/>
    </row>
    <row r="19" spans="1:9" ht="15.75">
      <c r="A19" s="220" t="s">
        <v>345</v>
      </c>
      <c r="B19" s="220"/>
      <c r="C19" s="220"/>
      <c r="D19" s="220"/>
      <c r="E19" s="59"/>
      <c r="F19" s="59">
        <f>'2. Bevétel funkció'!F73</f>
        <v>2496185</v>
      </c>
      <c r="G19" s="60"/>
      <c r="H19" s="55">
        <f t="shared" si="0"/>
        <v>2496185</v>
      </c>
      <c r="I19" s="61"/>
    </row>
    <row r="20" spans="1:9" ht="15.75">
      <c r="A20" s="58" t="s">
        <v>323</v>
      </c>
      <c r="B20" s="58"/>
      <c r="C20" s="58"/>
      <c r="D20" s="58"/>
      <c r="E20" s="59"/>
      <c r="F20" s="59">
        <f>'2. Bevétel funkció'!F77</f>
        <v>508000</v>
      </c>
      <c r="G20" s="60"/>
      <c r="H20" s="55">
        <f t="shared" si="0"/>
        <v>508000</v>
      </c>
      <c r="I20" s="61"/>
    </row>
    <row r="21" spans="1:9" ht="15.75">
      <c r="A21" s="219" t="s">
        <v>104</v>
      </c>
      <c r="B21" s="219"/>
      <c r="C21" s="219"/>
      <c r="D21" s="219"/>
      <c r="E21" s="55"/>
      <c r="F21" s="55">
        <f>'2. Bevétel funkció'!F82</f>
        <v>381000</v>
      </c>
      <c r="G21" s="62"/>
      <c r="H21" s="55">
        <f t="shared" si="0"/>
        <v>381000</v>
      </c>
      <c r="I21" s="61"/>
    </row>
    <row r="22" spans="1:9" ht="15.75">
      <c r="A22" s="219" t="s">
        <v>107</v>
      </c>
      <c r="B22" s="219"/>
      <c r="C22" s="219"/>
      <c r="D22" s="219"/>
      <c r="E22" s="55">
        <v>0</v>
      </c>
      <c r="F22" s="55">
        <f>'2. Bevétel funkció'!F87</f>
        <v>1206238</v>
      </c>
      <c r="G22" s="62"/>
      <c r="H22" s="55">
        <f t="shared" si="0"/>
        <v>1206238</v>
      </c>
      <c r="I22" s="63"/>
    </row>
    <row r="23" spans="1:9" ht="15.75">
      <c r="A23" s="219" t="s">
        <v>108</v>
      </c>
      <c r="B23" s="219"/>
      <c r="C23" s="219"/>
      <c r="D23" s="219"/>
      <c r="E23" s="55">
        <v>0</v>
      </c>
      <c r="F23" s="55"/>
      <c r="G23" s="62"/>
      <c r="H23" s="55">
        <f t="shared" si="0"/>
        <v>0</v>
      </c>
      <c r="I23" s="63"/>
    </row>
    <row r="24" spans="1:9" ht="15.75">
      <c r="A24" s="219" t="s">
        <v>109</v>
      </c>
      <c r="B24" s="219"/>
      <c r="C24" s="219"/>
      <c r="D24" s="219"/>
      <c r="E24" s="55"/>
      <c r="F24" s="55"/>
      <c r="G24" s="62"/>
      <c r="H24" s="55">
        <f t="shared" si="0"/>
        <v>0</v>
      </c>
      <c r="I24" s="63"/>
    </row>
    <row r="25" spans="1:9" ht="15.75">
      <c r="A25" s="219" t="s">
        <v>110</v>
      </c>
      <c r="B25" s="219"/>
      <c r="C25" s="219"/>
      <c r="D25" s="219"/>
      <c r="E25" s="55"/>
      <c r="F25" s="55">
        <f>'2. Bevétel funkció'!F91</f>
        <v>97462365</v>
      </c>
      <c r="G25" s="62"/>
      <c r="H25" s="55">
        <f t="shared" si="0"/>
        <v>97462365</v>
      </c>
      <c r="I25" s="63"/>
    </row>
    <row r="26" spans="1:9" ht="15.75">
      <c r="A26" s="219" t="s">
        <v>112</v>
      </c>
      <c r="B26" s="219"/>
      <c r="C26" s="219"/>
      <c r="D26" s="219"/>
      <c r="E26" s="55"/>
      <c r="F26" s="55">
        <f>'2. Bevétel funkció'!F97</f>
        <v>127000</v>
      </c>
      <c r="G26" s="62"/>
      <c r="H26" s="55">
        <f t="shared" si="0"/>
        <v>127000</v>
      </c>
      <c r="I26" s="63"/>
    </row>
    <row r="27" spans="1:9" ht="15.75">
      <c r="A27" s="219" t="s">
        <v>145</v>
      </c>
      <c r="B27" s="219"/>
      <c r="C27" s="219"/>
      <c r="D27" s="219"/>
      <c r="E27" s="55"/>
      <c r="F27" s="55">
        <v>0</v>
      </c>
      <c r="G27" s="62"/>
      <c r="H27" s="55">
        <f t="shared" si="0"/>
        <v>0</v>
      </c>
      <c r="I27" s="63"/>
    </row>
    <row r="28" spans="1:9" ht="15.75">
      <c r="A28" s="221" t="s">
        <v>113</v>
      </c>
      <c r="B28" s="221"/>
      <c r="C28" s="221"/>
      <c r="D28" s="221"/>
      <c r="E28" s="65">
        <f>SUM(E11:E27)</f>
        <v>515219282</v>
      </c>
      <c r="F28" s="65">
        <f>SUM(F11:F27)</f>
        <v>102180788</v>
      </c>
      <c r="G28" s="65">
        <f>SUM(G11:G27)</f>
        <v>0</v>
      </c>
      <c r="H28" s="65">
        <f>SUM(H11:H27)</f>
        <v>617400070</v>
      </c>
      <c r="I28" s="61"/>
    </row>
  </sheetData>
  <sheetProtection selectLockedCells="1" selectUnlockedCells="1"/>
  <mergeCells count="25">
    <mergeCell ref="A28:D28"/>
    <mergeCell ref="A23:D23"/>
    <mergeCell ref="A24:D24"/>
    <mergeCell ref="A25:D25"/>
    <mergeCell ref="A26:D26"/>
    <mergeCell ref="A27:D27"/>
    <mergeCell ref="A13:D13"/>
    <mergeCell ref="A14:D14"/>
    <mergeCell ref="A15:D15"/>
    <mergeCell ref="A17:D17"/>
    <mergeCell ref="A21:D21"/>
    <mergeCell ref="A22:D22"/>
    <mergeCell ref="A19:D19"/>
    <mergeCell ref="A8:D10"/>
    <mergeCell ref="E8:E10"/>
    <mergeCell ref="F8:F10"/>
    <mergeCell ref="G8:G10"/>
    <mergeCell ref="H8:H10"/>
    <mergeCell ref="A11:D11"/>
    <mergeCell ref="A1:H1"/>
    <mergeCell ref="A2:H2"/>
    <mergeCell ref="A4:H4"/>
    <mergeCell ref="A5:H5"/>
    <mergeCell ref="A6:H6"/>
    <mergeCell ref="E7:H7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 customHeight="1"/>
  <cols>
    <col min="1" max="1" width="3.28125" style="66" customWidth="1"/>
    <col min="2" max="2" width="4.8515625" style="63" customWidth="1"/>
    <col min="3" max="3" width="7.140625" style="63" customWidth="1"/>
    <col min="4" max="4" width="6.421875" style="63" customWidth="1"/>
    <col min="5" max="5" width="54.8515625" style="63" customWidth="1"/>
    <col min="6" max="6" width="9.8515625" style="63" customWidth="1"/>
    <col min="7" max="7" width="20.57421875" style="63" customWidth="1"/>
    <col min="8" max="8" width="11.28125" style="1" customWidth="1"/>
    <col min="9" max="16384" width="9.140625" style="1" customWidth="1"/>
  </cols>
  <sheetData>
    <row r="1" spans="1:7" ht="15.75" customHeight="1">
      <c r="A1" s="222" t="s">
        <v>391</v>
      </c>
      <c r="B1" s="222"/>
      <c r="C1" s="222"/>
      <c r="D1" s="222"/>
      <c r="E1" s="222"/>
      <c r="F1" s="222"/>
      <c r="G1" s="222"/>
    </row>
    <row r="2" spans="1:7" ht="15.75" customHeight="1">
      <c r="A2" s="222"/>
      <c r="B2" s="222"/>
      <c r="C2" s="222"/>
      <c r="D2" s="222"/>
      <c r="E2" s="222"/>
      <c r="F2" s="222"/>
      <c r="G2" s="222"/>
    </row>
    <row r="3" spans="1:7" ht="15.75" customHeight="1">
      <c r="A3" s="199"/>
      <c r="B3" s="199"/>
      <c r="C3" s="199"/>
      <c r="D3" s="199"/>
      <c r="E3" s="199"/>
      <c r="F3" s="199"/>
      <c r="G3" s="199"/>
    </row>
    <row r="4" spans="1:7" ht="15.75" customHeight="1">
      <c r="A4" s="207" t="s">
        <v>0</v>
      </c>
      <c r="B4" s="207"/>
      <c r="C4" s="207"/>
      <c r="D4" s="207"/>
      <c r="E4" s="207"/>
      <c r="F4" s="207"/>
      <c r="G4" s="207"/>
    </row>
    <row r="5" spans="1:7" ht="15.75" customHeight="1">
      <c r="A5" s="207" t="s">
        <v>364</v>
      </c>
      <c r="B5" s="207"/>
      <c r="C5" s="207"/>
      <c r="D5" s="207"/>
      <c r="E5" s="207"/>
      <c r="F5" s="207"/>
      <c r="G5" s="207"/>
    </row>
    <row r="6" spans="1:7" ht="15.75" customHeight="1">
      <c r="A6" s="207" t="s">
        <v>43</v>
      </c>
      <c r="B6" s="207"/>
      <c r="C6" s="207"/>
      <c r="D6" s="207"/>
      <c r="E6" s="207"/>
      <c r="F6" s="207"/>
      <c r="G6" s="207"/>
    </row>
    <row r="7" spans="1:7" ht="15.75" customHeight="1">
      <c r="A7" s="222" t="s">
        <v>146</v>
      </c>
      <c r="B7" s="222"/>
      <c r="C7" s="222"/>
      <c r="D7" s="222"/>
      <c r="E7" s="222"/>
      <c r="F7" s="222"/>
      <c r="G7" s="222"/>
    </row>
    <row r="8" spans="1:7" ht="15.75" customHeight="1">
      <c r="A8" s="223" t="s">
        <v>147</v>
      </c>
      <c r="B8" s="223"/>
      <c r="C8" s="223"/>
      <c r="D8" s="223"/>
      <c r="E8" s="223"/>
      <c r="F8" s="225" t="s">
        <v>148</v>
      </c>
      <c r="G8" s="227" t="s">
        <v>2</v>
      </c>
    </row>
    <row r="9" spans="1:7" s="25" customFormat="1" ht="15.75" customHeight="1">
      <c r="A9" s="224"/>
      <c r="B9" s="224"/>
      <c r="C9" s="224"/>
      <c r="D9" s="224"/>
      <c r="E9" s="224"/>
      <c r="F9" s="226"/>
      <c r="G9" s="228"/>
    </row>
    <row r="10" spans="1:7" s="61" customFormat="1" ht="15.75" customHeight="1">
      <c r="A10" s="102" t="s">
        <v>149</v>
      </c>
      <c r="B10" s="103"/>
      <c r="C10" s="103"/>
      <c r="D10" s="103"/>
      <c r="E10" s="103"/>
      <c r="F10" s="103"/>
      <c r="G10" s="104">
        <f>G11+G19+G22+G37+G41</f>
        <v>40550867.315</v>
      </c>
    </row>
    <row r="11" spans="1:7" s="61" customFormat="1" ht="15.75" customHeight="1">
      <c r="A11" s="105" t="s">
        <v>23</v>
      </c>
      <c r="B11" s="106"/>
      <c r="C11" s="106" t="s">
        <v>150</v>
      </c>
      <c r="D11" s="106"/>
      <c r="E11" s="106"/>
      <c r="F11" s="101">
        <v>1</v>
      </c>
      <c r="G11" s="107">
        <f>G12</f>
        <v>11414673</v>
      </c>
    </row>
    <row r="12" spans="1:7" s="61" customFormat="1" ht="15.75" customHeight="1">
      <c r="A12" s="108"/>
      <c r="B12" s="106" t="s">
        <v>157</v>
      </c>
      <c r="C12" s="106"/>
      <c r="D12" s="106" t="s">
        <v>158</v>
      </c>
      <c r="E12" s="106"/>
      <c r="F12" s="109"/>
      <c r="G12" s="107">
        <f>G13+G18</f>
        <v>11414673</v>
      </c>
    </row>
    <row r="13" spans="1:7" s="61" customFormat="1" ht="15.75" customHeight="1">
      <c r="A13" s="108"/>
      <c r="B13" s="109"/>
      <c r="C13" s="109" t="s">
        <v>159</v>
      </c>
      <c r="D13" s="109" t="s">
        <v>160</v>
      </c>
      <c r="E13" s="109"/>
      <c r="F13" s="109"/>
      <c r="G13" s="110">
        <f>SUM(G14:G17)</f>
        <v>10694673</v>
      </c>
    </row>
    <row r="14" spans="1:7" s="61" customFormat="1" ht="15.75" customHeight="1">
      <c r="A14" s="108"/>
      <c r="B14" s="109"/>
      <c r="C14" s="109"/>
      <c r="D14" s="109"/>
      <c r="E14" s="111" t="s">
        <v>161</v>
      </c>
      <c r="F14" s="109"/>
      <c r="G14" s="112">
        <v>4786800</v>
      </c>
    </row>
    <row r="15" spans="1:7" s="61" customFormat="1" ht="15.75" customHeight="1">
      <c r="A15" s="108"/>
      <c r="B15" s="109"/>
      <c r="C15" s="109"/>
      <c r="D15" s="109"/>
      <c r="E15" s="111" t="s">
        <v>156</v>
      </c>
      <c r="F15" s="109"/>
      <c r="G15" s="112">
        <v>173913</v>
      </c>
    </row>
    <row r="16" spans="1:7" s="61" customFormat="1" ht="15.75" customHeight="1">
      <c r="A16" s="108"/>
      <c r="B16" s="109"/>
      <c r="C16" s="109"/>
      <c r="D16" s="109"/>
      <c r="E16" s="111" t="s">
        <v>162</v>
      </c>
      <c r="F16" s="109"/>
      <c r="G16" s="112">
        <v>4800000</v>
      </c>
    </row>
    <row r="17" spans="1:7" s="61" customFormat="1" ht="15.75" customHeight="1">
      <c r="A17" s="108"/>
      <c r="B17" s="109"/>
      <c r="C17" s="109"/>
      <c r="D17" s="111"/>
      <c r="E17" s="111" t="s">
        <v>163</v>
      </c>
      <c r="F17" s="109"/>
      <c r="G17" s="112">
        <f>717960+216000</f>
        <v>933960</v>
      </c>
    </row>
    <row r="18" spans="1:7" s="61" customFormat="1" ht="15.75" customHeight="1">
      <c r="A18" s="108"/>
      <c r="B18" s="109"/>
      <c r="C18" s="109" t="s">
        <v>164</v>
      </c>
      <c r="D18" s="109" t="s">
        <v>165</v>
      </c>
      <c r="E18" s="109"/>
      <c r="F18" s="109"/>
      <c r="G18" s="110">
        <v>720000</v>
      </c>
    </row>
    <row r="19" spans="1:7" s="61" customFormat="1" ht="15.75" customHeight="1">
      <c r="A19" s="105" t="s">
        <v>25</v>
      </c>
      <c r="B19" s="106"/>
      <c r="C19" s="106" t="s">
        <v>166</v>
      </c>
      <c r="D19" s="113"/>
      <c r="E19" s="113"/>
      <c r="F19" s="114"/>
      <c r="G19" s="107">
        <f>SUM(G20:G21)</f>
        <v>1769274.315</v>
      </c>
    </row>
    <row r="20" spans="1:8" s="61" customFormat="1" ht="15.75" customHeight="1">
      <c r="A20" s="108"/>
      <c r="B20" s="109"/>
      <c r="C20" s="109"/>
      <c r="D20" s="111" t="s">
        <v>167</v>
      </c>
      <c r="E20" s="109"/>
      <c r="F20" s="109"/>
      <c r="G20" s="110">
        <f>(G13+G18)*0.155</f>
        <v>1769274.315</v>
      </c>
      <c r="H20" s="67"/>
    </row>
    <row r="21" spans="1:7" s="61" customFormat="1" ht="15.75" customHeight="1">
      <c r="A21" s="108"/>
      <c r="B21" s="109"/>
      <c r="C21" s="109"/>
      <c r="D21" s="111" t="s">
        <v>168</v>
      </c>
      <c r="E21" s="109"/>
      <c r="F21" s="109"/>
      <c r="G21" s="110"/>
    </row>
    <row r="22" spans="1:7" s="61" customFormat="1" ht="15.75" customHeight="1">
      <c r="A22" s="105" t="s">
        <v>27</v>
      </c>
      <c r="B22" s="106"/>
      <c r="C22" s="106" t="s">
        <v>28</v>
      </c>
      <c r="D22" s="106"/>
      <c r="E22" s="106"/>
      <c r="F22" s="109"/>
      <c r="G22" s="107">
        <f>G23+G26+G29+G34</f>
        <v>14989000</v>
      </c>
    </row>
    <row r="23" spans="1:7" s="68" customFormat="1" ht="15.75" customHeight="1">
      <c r="A23" s="115"/>
      <c r="B23" s="106" t="s">
        <v>169</v>
      </c>
      <c r="C23" s="116"/>
      <c r="D23" s="106" t="s">
        <v>170</v>
      </c>
      <c r="E23" s="117"/>
      <c r="F23" s="115"/>
      <c r="G23" s="107">
        <f>G24+G25</f>
        <v>1100000</v>
      </c>
    </row>
    <row r="24" spans="1:7" s="61" customFormat="1" ht="15.75" customHeight="1">
      <c r="A24" s="108"/>
      <c r="B24" s="109"/>
      <c r="C24" s="109" t="s">
        <v>171</v>
      </c>
      <c r="D24" s="109" t="s">
        <v>172</v>
      </c>
      <c r="E24" s="115"/>
      <c r="F24" s="115"/>
      <c r="G24" s="110">
        <v>200000</v>
      </c>
    </row>
    <row r="25" spans="1:7" s="61" customFormat="1" ht="15.75" customHeight="1">
      <c r="A25" s="108"/>
      <c r="B25" s="109"/>
      <c r="C25" s="109" t="s">
        <v>174</v>
      </c>
      <c r="D25" s="109" t="s">
        <v>175</v>
      </c>
      <c r="E25" s="109"/>
      <c r="F25" s="109"/>
      <c r="G25" s="110">
        <v>900000</v>
      </c>
    </row>
    <row r="26" spans="1:7" s="68" customFormat="1" ht="15.75" customHeight="1">
      <c r="A26" s="115"/>
      <c r="B26" s="106" t="s">
        <v>177</v>
      </c>
      <c r="C26" s="116"/>
      <c r="D26" s="106" t="s">
        <v>178</v>
      </c>
      <c r="E26" s="116"/>
      <c r="F26" s="111"/>
      <c r="G26" s="107">
        <f>G27+G28</f>
        <v>1650000</v>
      </c>
    </row>
    <row r="27" spans="1:7" s="61" customFormat="1" ht="15.75" customHeight="1">
      <c r="A27" s="108"/>
      <c r="B27" s="109"/>
      <c r="C27" s="109" t="s">
        <v>179</v>
      </c>
      <c r="D27" s="109" t="s">
        <v>312</v>
      </c>
      <c r="E27" s="109"/>
      <c r="F27" s="109"/>
      <c r="G27" s="110">
        <v>1200000</v>
      </c>
    </row>
    <row r="28" spans="1:7" s="61" customFormat="1" ht="15.75" customHeight="1">
      <c r="A28" s="108"/>
      <c r="B28" s="109"/>
      <c r="C28" s="109" t="s">
        <v>181</v>
      </c>
      <c r="D28" s="109" t="s">
        <v>313</v>
      </c>
      <c r="E28" s="109"/>
      <c r="F28" s="109"/>
      <c r="G28" s="110">
        <v>450000</v>
      </c>
    </row>
    <row r="29" spans="1:7" s="68" customFormat="1" ht="15.75" customHeight="1">
      <c r="A29" s="115"/>
      <c r="B29" s="106" t="s">
        <v>183</v>
      </c>
      <c r="C29" s="116"/>
      <c r="D29" s="106" t="s">
        <v>184</v>
      </c>
      <c r="E29" s="116"/>
      <c r="F29" s="111"/>
      <c r="G29" s="107">
        <f>G30+G31+G32+G33</f>
        <v>10600000</v>
      </c>
    </row>
    <row r="30" spans="1:7" s="61" customFormat="1" ht="15.75" customHeight="1">
      <c r="A30" s="108"/>
      <c r="B30" s="109"/>
      <c r="C30" s="109" t="s">
        <v>185</v>
      </c>
      <c r="D30" s="109" t="s">
        <v>186</v>
      </c>
      <c r="E30" s="109"/>
      <c r="F30" s="109"/>
      <c r="G30" s="110">
        <v>2000000</v>
      </c>
    </row>
    <row r="31" spans="1:7" s="61" customFormat="1" ht="15.75" customHeight="1">
      <c r="A31" s="108"/>
      <c r="B31" s="109"/>
      <c r="C31" s="109" t="s">
        <v>187</v>
      </c>
      <c r="D31" s="109" t="s">
        <v>188</v>
      </c>
      <c r="E31" s="109"/>
      <c r="F31" s="109"/>
      <c r="G31" s="110">
        <v>300000</v>
      </c>
    </row>
    <row r="32" spans="1:7" s="61" customFormat="1" ht="15.75" customHeight="1">
      <c r="A32" s="108"/>
      <c r="B32" s="109"/>
      <c r="C32" s="109" t="s">
        <v>189</v>
      </c>
      <c r="D32" s="109" t="s">
        <v>190</v>
      </c>
      <c r="E32" s="109"/>
      <c r="F32" s="109"/>
      <c r="G32" s="110">
        <v>300000</v>
      </c>
    </row>
    <row r="33" spans="1:7" s="61" customFormat="1" ht="15.75" customHeight="1">
      <c r="A33" s="108"/>
      <c r="B33" s="109"/>
      <c r="C33" s="109" t="s">
        <v>191</v>
      </c>
      <c r="D33" s="109" t="s">
        <v>192</v>
      </c>
      <c r="E33" s="109"/>
      <c r="F33" s="109"/>
      <c r="G33" s="110">
        <f>8000000</f>
        <v>8000000</v>
      </c>
    </row>
    <row r="34" spans="1:7" s="68" customFormat="1" ht="15.75" customHeight="1">
      <c r="A34" s="115"/>
      <c r="B34" s="106" t="s">
        <v>197</v>
      </c>
      <c r="C34" s="116"/>
      <c r="D34" s="106" t="s">
        <v>198</v>
      </c>
      <c r="E34" s="116"/>
      <c r="F34" s="111"/>
      <c r="G34" s="107">
        <f>G35+G36</f>
        <v>1639000</v>
      </c>
    </row>
    <row r="35" spans="1:7" s="61" customFormat="1" ht="15.75" customHeight="1">
      <c r="A35" s="108"/>
      <c r="B35" s="109"/>
      <c r="C35" s="109" t="s">
        <v>199</v>
      </c>
      <c r="D35" s="109" t="s">
        <v>200</v>
      </c>
      <c r="E35" s="109"/>
      <c r="F35" s="109"/>
      <c r="G35" s="118">
        <f>2000000-362000</f>
        <v>1638000</v>
      </c>
    </row>
    <row r="36" spans="1:7" s="61" customFormat="1" ht="15.75" customHeight="1">
      <c r="A36" s="108"/>
      <c r="B36" s="109"/>
      <c r="C36" s="109" t="s">
        <v>351</v>
      </c>
      <c r="D36" s="109" t="s">
        <v>352</v>
      </c>
      <c r="E36" s="109"/>
      <c r="F36" s="109"/>
      <c r="G36" s="118">
        <v>1000</v>
      </c>
    </row>
    <row r="37" spans="1:7" s="69" customFormat="1" ht="15.75" customHeight="1">
      <c r="A37" s="105" t="s">
        <v>31</v>
      </c>
      <c r="B37" s="106"/>
      <c r="C37" s="106" t="s">
        <v>32</v>
      </c>
      <c r="D37" s="106"/>
      <c r="E37" s="106"/>
      <c r="F37" s="106"/>
      <c r="G37" s="107">
        <f>G38+G40</f>
        <v>11800000</v>
      </c>
    </row>
    <row r="38" spans="1:7" s="61" customFormat="1" ht="15.75" customHeight="1">
      <c r="A38" s="108"/>
      <c r="B38" s="109"/>
      <c r="C38" s="109" t="s">
        <v>202</v>
      </c>
      <c r="D38" s="109" t="s">
        <v>203</v>
      </c>
      <c r="E38" s="109"/>
      <c r="F38" s="109"/>
      <c r="G38" s="107">
        <f>G39</f>
        <v>1800000</v>
      </c>
    </row>
    <row r="39" spans="1:7" s="61" customFormat="1" ht="15.75" customHeight="1">
      <c r="A39" s="108"/>
      <c r="B39" s="109"/>
      <c r="C39" s="109"/>
      <c r="D39" s="109"/>
      <c r="E39" s="109" t="s">
        <v>305</v>
      </c>
      <c r="F39" s="109"/>
      <c r="G39" s="110">
        <v>1800000</v>
      </c>
    </row>
    <row r="40" spans="1:7" s="61" customFormat="1" ht="15.75" customHeight="1">
      <c r="A40" s="108"/>
      <c r="B40" s="109"/>
      <c r="C40" s="109" t="s">
        <v>204</v>
      </c>
      <c r="D40" s="109" t="s">
        <v>205</v>
      </c>
      <c r="E40" s="109"/>
      <c r="F40" s="109"/>
      <c r="G40" s="110">
        <v>10000000</v>
      </c>
    </row>
    <row r="41" spans="1:7" s="61" customFormat="1" ht="15.75" customHeight="1">
      <c r="A41" s="119" t="s">
        <v>34</v>
      </c>
      <c r="B41" s="109"/>
      <c r="C41" s="106" t="s">
        <v>35</v>
      </c>
      <c r="D41" s="109"/>
      <c r="E41" s="109"/>
      <c r="F41" s="109"/>
      <c r="G41" s="107">
        <f>SUM(G42:G44)</f>
        <v>577920</v>
      </c>
    </row>
    <row r="42" spans="1:7" s="61" customFormat="1" ht="15.75" customHeight="1">
      <c r="A42" s="119"/>
      <c r="B42" s="109"/>
      <c r="C42" s="109" t="s">
        <v>367</v>
      </c>
      <c r="D42" s="109"/>
      <c r="E42" s="109" t="s">
        <v>368</v>
      </c>
      <c r="F42" s="109"/>
      <c r="G42" s="110">
        <v>157400</v>
      </c>
    </row>
    <row r="43" spans="1:7" s="61" customFormat="1" ht="15.75" customHeight="1">
      <c r="A43" s="108"/>
      <c r="B43" s="109"/>
      <c r="C43" s="109" t="s">
        <v>206</v>
      </c>
      <c r="D43" s="109"/>
      <c r="E43" s="109" t="s">
        <v>207</v>
      </c>
      <c r="F43" s="109"/>
      <c r="G43" s="110">
        <v>378000</v>
      </c>
    </row>
    <row r="44" spans="1:7" s="61" customFormat="1" ht="15.75" customHeight="1">
      <c r="A44" s="108"/>
      <c r="B44" s="109"/>
      <c r="C44" s="109" t="s">
        <v>225</v>
      </c>
      <c r="D44" s="109"/>
      <c r="E44" s="109" t="s">
        <v>226</v>
      </c>
      <c r="F44" s="109"/>
      <c r="G44" s="110">
        <v>42520</v>
      </c>
    </row>
    <row r="45" spans="1:7" s="61" customFormat="1" ht="15.75" customHeight="1">
      <c r="A45" s="105"/>
      <c r="B45" s="109"/>
      <c r="C45" s="106"/>
      <c r="D45" s="106"/>
      <c r="E45" s="109"/>
      <c r="F45" s="106"/>
      <c r="G45" s="110"/>
    </row>
    <row r="46" spans="1:7" s="61" customFormat="1" ht="15.75" customHeight="1">
      <c r="A46" s="102" t="s">
        <v>208</v>
      </c>
      <c r="B46" s="103"/>
      <c r="C46" s="103"/>
      <c r="D46" s="103"/>
      <c r="E46" s="103"/>
      <c r="F46" s="120"/>
      <c r="G46" s="104">
        <f>G49+G47</f>
        <v>9111679</v>
      </c>
    </row>
    <row r="47" spans="1:7" s="61" customFormat="1" ht="15.75" customHeight="1">
      <c r="A47" s="105" t="s">
        <v>31</v>
      </c>
      <c r="B47" s="106"/>
      <c r="C47" s="106" t="s">
        <v>32</v>
      </c>
      <c r="D47" s="186"/>
      <c r="E47" s="186"/>
      <c r="F47" s="187"/>
      <c r="G47" s="188">
        <f>SUM(G48)</f>
        <v>2641614</v>
      </c>
    </row>
    <row r="48" spans="1:7" s="61" customFormat="1" ht="15.75" customHeight="1">
      <c r="A48" s="185"/>
      <c r="B48" s="186"/>
      <c r="C48" s="186" t="s">
        <v>373</v>
      </c>
      <c r="D48" s="186"/>
      <c r="E48" s="189" t="s">
        <v>374</v>
      </c>
      <c r="F48" s="187"/>
      <c r="G48" s="190">
        <v>2641614</v>
      </c>
    </row>
    <row r="49" spans="1:7" s="61" customFormat="1" ht="15.75" customHeight="1">
      <c r="A49" s="105" t="s">
        <v>41</v>
      </c>
      <c r="B49" s="109"/>
      <c r="C49" s="106" t="s">
        <v>40</v>
      </c>
      <c r="D49" s="106"/>
      <c r="E49" s="106"/>
      <c r="F49" s="106"/>
      <c r="G49" s="107">
        <f>G50+G51</f>
        <v>6470065</v>
      </c>
    </row>
    <row r="50" spans="1:7" s="61" customFormat="1" ht="15.75" customHeight="1">
      <c r="A50" s="105"/>
      <c r="B50" s="109"/>
      <c r="C50" s="106" t="s">
        <v>209</v>
      </c>
      <c r="D50" s="106"/>
      <c r="E50" s="109" t="s">
        <v>210</v>
      </c>
      <c r="F50" s="106"/>
      <c r="G50" s="110">
        <v>3470065</v>
      </c>
    </row>
    <row r="51" spans="1:7" s="61" customFormat="1" ht="15.75" customHeight="1">
      <c r="A51" s="105"/>
      <c r="B51" s="109"/>
      <c r="C51" s="106"/>
      <c r="D51" s="106"/>
      <c r="E51" s="109" t="s">
        <v>211</v>
      </c>
      <c r="F51" s="106"/>
      <c r="G51" s="110">
        <v>3000000</v>
      </c>
    </row>
    <row r="52" spans="1:7" s="61" customFormat="1" ht="15.75" customHeight="1">
      <c r="A52" s="105"/>
      <c r="B52" s="109"/>
      <c r="C52" s="106"/>
      <c r="D52" s="106"/>
      <c r="E52" s="109"/>
      <c r="F52" s="106"/>
      <c r="G52" s="110"/>
    </row>
    <row r="53" spans="1:7" s="61" customFormat="1" ht="15.75" customHeight="1">
      <c r="A53" s="102" t="s">
        <v>212</v>
      </c>
      <c r="B53" s="103"/>
      <c r="C53" s="103"/>
      <c r="D53" s="103"/>
      <c r="E53" s="103"/>
      <c r="F53" s="120"/>
      <c r="G53" s="104">
        <f>G54</f>
        <v>82193039</v>
      </c>
    </row>
    <row r="54" spans="1:7" s="61" customFormat="1" ht="15.75" customHeight="1">
      <c r="A54" s="105" t="s">
        <v>31</v>
      </c>
      <c r="B54" s="106"/>
      <c r="C54" s="106" t="s">
        <v>32</v>
      </c>
      <c r="D54" s="106"/>
      <c r="E54" s="106"/>
      <c r="F54" s="109"/>
      <c r="G54" s="107">
        <f>G58+G55</f>
        <v>82193039</v>
      </c>
    </row>
    <row r="55" spans="1:7" s="61" customFormat="1" ht="15.75" customHeight="1">
      <c r="A55" s="105"/>
      <c r="B55" s="106"/>
      <c r="C55" s="109" t="s">
        <v>201</v>
      </c>
      <c r="D55" s="109" t="s">
        <v>327</v>
      </c>
      <c r="E55" s="106"/>
      <c r="F55" s="109"/>
      <c r="G55" s="107">
        <f>G56+G57</f>
        <v>24428024</v>
      </c>
    </row>
    <row r="56" spans="1:7" s="61" customFormat="1" ht="15.75" customHeight="1">
      <c r="A56" s="105"/>
      <c r="B56" s="106"/>
      <c r="C56" s="106"/>
      <c r="D56" s="230" t="s">
        <v>328</v>
      </c>
      <c r="E56" s="231"/>
      <c r="F56" s="109"/>
      <c r="G56" s="110">
        <v>23342024</v>
      </c>
    </row>
    <row r="57" spans="1:7" s="61" customFormat="1" ht="31.5" customHeight="1">
      <c r="A57" s="105"/>
      <c r="B57" s="106"/>
      <c r="C57" s="106"/>
      <c r="D57" s="230" t="s">
        <v>330</v>
      </c>
      <c r="E57" s="231"/>
      <c r="F57" s="109"/>
      <c r="G57" s="110">
        <f>330000+378000+378000</f>
        <v>1086000</v>
      </c>
    </row>
    <row r="58" spans="1:7" s="61" customFormat="1" ht="15.75">
      <c r="A58" s="108"/>
      <c r="B58" s="109"/>
      <c r="C58" s="109" t="s">
        <v>201</v>
      </c>
      <c r="D58" s="230" t="s">
        <v>332</v>
      </c>
      <c r="E58" s="231"/>
      <c r="F58" s="109">
        <f>F60+F61+F62</f>
        <v>52689015</v>
      </c>
      <c r="G58" s="107">
        <f>G59+G63+G64</f>
        <v>57765015</v>
      </c>
    </row>
    <row r="59" spans="1:7" s="61" customFormat="1" ht="15.75">
      <c r="A59" s="108"/>
      <c r="B59" s="109"/>
      <c r="C59" s="109"/>
      <c r="D59" s="230" t="s">
        <v>331</v>
      </c>
      <c r="E59" s="231"/>
      <c r="F59" s="109"/>
      <c r="G59" s="107">
        <f>F60+F61+F62</f>
        <v>52689015</v>
      </c>
    </row>
    <row r="60" spans="1:7" s="61" customFormat="1" ht="15.75" customHeight="1">
      <c r="A60" s="108"/>
      <c r="B60" s="109"/>
      <c r="C60" s="109"/>
      <c r="D60" s="109" t="s">
        <v>213</v>
      </c>
      <c r="E60" s="109"/>
      <c r="F60" s="109">
        <v>44699037</v>
      </c>
      <c r="G60" s="110">
        <v>44699037</v>
      </c>
    </row>
    <row r="61" spans="1:7" s="61" customFormat="1" ht="15.75" customHeight="1">
      <c r="A61" s="108"/>
      <c r="B61" s="109"/>
      <c r="C61" s="109"/>
      <c r="D61" s="109" t="s">
        <v>214</v>
      </c>
      <c r="E61" s="109"/>
      <c r="F61" s="109">
        <v>2658447</v>
      </c>
      <c r="G61" s="110">
        <v>2658447</v>
      </c>
    </row>
    <row r="62" spans="1:7" s="61" customFormat="1" ht="15.75" customHeight="1">
      <c r="A62" s="108"/>
      <c r="B62" s="109"/>
      <c r="C62" s="109"/>
      <c r="D62" s="109" t="s">
        <v>215</v>
      </c>
      <c r="E62" s="109"/>
      <c r="F62" s="109">
        <v>5331531</v>
      </c>
      <c r="G62" s="110">
        <v>5331531</v>
      </c>
    </row>
    <row r="63" spans="1:7" s="61" customFormat="1" ht="15.75" customHeight="1">
      <c r="A63" s="108"/>
      <c r="B63" s="109"/>
      <c r="C63" s="109"/>
      <c r="D63" s="109" t="s">
        <v>216</v>
      </c>
      <c r="E63" s="109"/>
      <c r="F63" s="109"/>
      <c r="G63" s="110">
        <v>576000</v>
      </c>
    </row>
    <row r="64" spans="1:7" s="61" customFormat="1" ht="15.75" customHeight="1">
      <c r="A64" s="108"/>
      <c r="B64" s="109"/>
      <c r="C64" s="109"/>
      <c r="D64" s="109" t="s">
        <v>329</v>
      </c>
      <c r="E64" s="109"/>
      <c r="F64" s="109"/>
      <c r="G64" s="110">
        <v>4500000</v>
      </c>
    </row>
    <row r="65" spans="1:7" s="61" customFormat="1" ht="15.75" customHeight="1">
      <c r="A65" s="108"/>
      <c r="B65" s="109"/>
      <c r="C65" s="109"/>
      <c r="D65" s="109"/>
      <c r="E65" s="109"/>
      <c r="F65" s="109"/>
      <c r="G65" s="107"/>
    </row>
    <row r="66" spans="1:7" s="61" customFormat="1" ht="15.75" customHeight="1">
      <c r="A66" s="105"/>
      <c r="B66" s="109"/>
      <c r="C66" s="106"/>
      <c r="D66" s="106"/>
      <c r="E66" s="109"/>
      <c r="F66" s="106"/>
      <c r="G66" s="110"/>
    </row>
    <row r="67" spans="1:7" s="61" customFormat="1" ht="15.75" customHeight="1">
      <c r="A67" s="102" t="s">
        <v>217</v>
      </c>
      <c r="B67" s="120"/>
      <c r="C67" s="120"/>
      <c r="D67" s="120"/>
      <c r="E67" s="120"/>
      <c r="F67" s="121">
        <v>0.5</v>
      </c>
      <c r="G67" s="104">
        <f>G68+G73+G76</f>
        <v>2881515.0149999997</v>
      </c>
    </row>
    <row r="68" spans="1:7" s="61" customFormat="1" ht="15.75" customHeight="1">
      <c r="A68" s="105" t="s">
        <v>23</v>
      </c>
      <c r="B68" s="106"/>
      <c r="C68" s="106" t="s">
        <v>150</v>
      </c>
      <c r="D68" s="106"/>
      <c r="E68" s="106"/>
      <c r="F68" s="101"/>
      <c r="G68" s="107">
        <f>G69</f>
        <v>1300013</v>
      </c>
    </row>
    <row r="69" spans="1:7" s="61" customFormat="1" ht="15.75" customHeight="1">
      <c r="A69" s="108"/>
      <c r="B69" s="106" t="s">
        <v>151</v>
      </c>
      <c r="C69" s="109"/>
      <c r="D69" s="109" t="s">
        <v>152</v>
      </c>
      <c r="E69" s="109"/>
      <c r="F69" s="109"/>
      <c r="G69" s="110">
        <f>SUM(G70:G72)</f>
        <v>1300013</v>
      </c>
    </row>
    <row r="70" spans="1:7" s="61" customFormat="1" ht="15.75" customHeight="1">
      <c r="A70" s="99"/>
      <c r="B70" s="109"/>
      <c r="C70" s="109" t="s">
        <v>153</v>
      </c>
      <c r="D70" s="109" t="s">
        <v>154</v>
      </c>
      <c r="E70" s="109"/>
      <c r="F70" s="109"/>
      <c r="G70" s="110">
        <f>1119744*1.04</f>
        <v>1164533.76</v>
      </c>
    </row>
    <row r="71" spans="1:7" s="61" customFormat="1" ht="15.75" customHeight="1">
      <c r="A71" s="99"/>
      <c r="B71" s="109"/>
      <c r="C71" s="109" t="s">
        <v>314</v>
      </c>
      <c r="D71" s="109" t="s">
        <v>324</v>
      </c>
      <c r="E71" s="109"/>
      <c r="F71" s="109"/>
      <c r="G71" s="110">
        <f>46656*1.04</f>
        <v>48522.240000000005</v>
      </c>
    </row>
    <row r="72" spans="1:7" s="69" customFormat="1" ht="15.75" customHeight="1">
      <c r="A72" s="108"/>
      <c r="B72" s="109"/>
      <c r="C72" s="109" t="s">
        <v>155</v>
      </c>
      <c r="D72" s="109" t="s">
        <v>156</v>
      </c>
      <c r="E72" s="109"/>
      <c r="F72" s="109"/>
      <c r="G72" s="110">
        <v>86957</v>
      </c>
    </row>
    <row r="73" spans="1:7" s="61" customFormat="1" ht="15.75" customHeight="1">
      <c r="A73" s="105" t="s">
        <v>25</v>
      </c>
      <c r="B73" s="106"/>
      <c r="C73" s="106" t="s">
        <v>166</v>
      </c>
      <c r="D73" s="113"/>
      <c r="E73" s="113"/>
      <c r="F73" s="114"/>
      <c r="G73" s="107">
        <f>SUM(G74:G75)</f>
        <v>201502.01499999998</v>
      </c>
    </row>
    <row r="74" spans="1:7" s="61" customFormat="1" ht="15.75" customHeight="1">
      <c r="A74" s="108"/>
      <c r="B74" s="109"/>
      <c r="C74" s="109"/>
      <c r="D74" s="111" t="s">
        <v>167</v>
      </c>
      <c r="E74" s="109"/>
      <c r="F74" s="109"/>
      <c r="G74" s="110">
        <f>G69*0.155</f>
        <v>201502.01499999998</v>
      </c>
    </row>
    <row r="75" spans="1:7" s="61" customFormat="1" ht="15.75" customHeight="1">
      <c r="A75" s="108"/>
      <c r="B75" s="109"/>
      <c r="C75" s="109"/>
      <c r="D75" s="111" t="s">
        <v>168</v>
      </c>
      <c r="E75" s="109"/>
      <c r="F75" s="109"/>
      <c r="G75" s="110">
        <v>0</v>
      </c>
    </row>
    <row r="76" spans="1:7" s="61" customFormat="1" ht="15.75" customHeight="1">
      <c r="A76" s="105" t="s">
        <v>27</v>
      </c>
      <c r="B76" s="106"/>
      <c r="C76" s="106" t="s">
        <v>28</v>
      </c>
      <c r="D76" s="106"/>
      <c r="E76" s="106"/>
      <c r="F76" s="109"/>
      <c r="G76" s="107">
        <f>G77+G79+G83</f>
        <v>1380000</v>
      </c>
    </row>
    <row r="77" spans="1:7" s="61" customFormat="1" ht="15.75" customHeight="1">
      <c r="A77" s="115"/>
      <c r="B77" s="106" t="s">
        <v>169</v>
      </c>
      <c r="C77" s="116"/>
      <c r="D77" s="106" t="s">
        <v>170</v>
      </c>
      <c r="E77" s="117"/>
      <c r="F77" s="115"/>
      <c r="G77" s="107">
        <f>+G78</f>
        <v>200000</v>
      </c>
    </row>
    <row r="78" spans="1:7" s="61" customFormat="1" ht="15.75" customHeight="1">
      <c r="A78" s="108"/>
      <c r="B78" s="109"/>
      <c r="C78" s="109" t="s">
        <v>174</v>
      </c>
      <c r="D78" s="109" t="s">
        <v>175</v>
      </c>
      <c r="E78" s="109"/>
      <c r="F78" s="109"/>
      <c r="G78" s="110">
        <v>200000</v>
      </c>
    </row>
    <row r="79" spans="1:7" s="61" customFormat="1" ht="15.75" customHeight="1">
      <c r="A79" s="115"/>
      <c r="B79" s="106" t="s">
        <v>183</v>
      </c>
      <c r="C79" s="116"/>
      <c r="D79" s="106" t="s">
        <v>184</v>
      </c>
      <c r="E79" s="116"/>
      <c r="F79" s="111"/>
      <c r="G79" s="107">
        <f>G80+G81+G82</f>
        <v>880000</v>
      </c>
    </row>
    <row r="80" spans="1:7" s="61" customFormat="1" ht="15.75" customHeight="1">
      <c r="A80" s="108"/>
      <c r="B80" s="109"/>
      <c r="C80" s="109" t="s">
        <v>185</v>
      </c>
      <c r="D80" s="109" t="s">
        <v>186</v>
      </c>
      <c r="E80" s="109"/>
      <c r="F80" s="109"/>
      <c r="G80" s="110">
        <v>130000</v>
      </c>
    </row>
    <row r="81" spans="1:7" s="61" customFormat="1" ht="15.75" customHeight="1">
      <c r="A81" s="108"/>
      <c r="B81" s="109"/>
      <c r="C81" s="109" t="s">
        <v>189</v>
      </c>
      <c r="D81" s="109" t="s">
        <v>190</v>
      </c>
      <c r="E81" s="109"/>
      <c r="F81" s="109"/>
      <c r="G81" s="110">
        <v>250000</v>
      </c>
    </row>
    <row r="82" spans="1:7" s="61" customFormat="1" ht="15.75" customHeight="1">
      <c r="A82" s="108"/>
      <c r="B82" s="109"/>
      <c r="C82" s="109" t="s">
        <v>191</v>
      </c>
      <c r="D82" s="109" t="s">
        <v>192</v>
      </c>
      <c r="E82" s="109"/>
      <c r="F82" s="109"/>
      <c r="G82" s="110">
        <v>500000</v>
      </c>
    </row>
    <row r="83" spans="1:7" s="61" customFormat="1" ht="15.75" customHeight="1">
      <c r="A83" s="115"/>
      <c r="B83" s="106" t="s">
        <v>197</v>
      </c>
      <c r="C83" s="116"/>
      <c r="D83" s="106" t="s">
        <v>198</v>
      </c>
      <c r="E83" s="116"/>
      <c r="F83" s="111"/>
      <c r="G83" s="107">
        <f>G84</f>
        <v>300000</v>
      </c>
    </row>
    <row r="84" spans="1:7" s="61" customFormat="1" ht="15.75" customHeight="1">
      <c r="A84" s="108"/>
      <c r="B84" s="109"/>
      <c r="C84" s="109" t="s">
        <v>199</v>
      </c>
      <c r="D84" s="109" t="s">
        <v>200</v>
      </c>
      <c r="E84" s="109"/>
      <c r="F84" s="109"/>
      <c r="G84" s="118">
        <v>300000</v>
      </c>
    </row>
    <row r="85" spans="1:7" s="61" customFormat="1" ht="15.75" customHeight="1">
      <c r="A85" s="108"/>
      <c r="B85" s="109"/>
      <c r="C85" s="109"/>
      <c r="D85" s="109"/>
      <c r="E85" s="109"/>
      <c r="F85" s="115"/>
      <c r="G85" s="112"/>
    </row>
    <row r="86" spans="1:7" s="61" customFormat="1" ht="15.75" customHeight="1">
      <c r="A86" s="102" t="s">
        <v>78</v>
      </c>
      <c r="B86" s="122"/>
      <c r="C86" s="122"/>
      <c r="D86" s="122"/>
      <c r="E86" s="123"/>
      <c r="F86" s="124"/>
      <c r="G86" s="104">
        <f>G87</f>
        <v>67989485</v>
      </c>
    </row>
    <row r="87" spans="1:7" s="61" customFormat="1" ht="15.75" customHeight="1">
      <c r="A87" s="105" t="s">
        <v>27</v>
      </c>
      <c r="B87" s="106"/>
      <c r="C87" s="106" t="s">
        <v>28</v>
      </c>
      <c r="D87" s="106"/>
      <c r="E87" s="106"/>
      <c r="F87" s="115"/>
      <c r="G87" s="107">
        <f>G88+G91</f>
        <v>67989485</v>
      </c>
    </row>
    <row r="88" spans="1:7" s="61" customFormat="1" ht="15.75" customHeight="1">
      <c r="A88" s="115"/>
      <c r="B88" s="106" t="s">
        <v>183</v>
      </c>
      <c r="C88" s="116"/>
      <c r="D88" s="106" t="s">
        <v>184</v>
      </c>
      <c r="E88" s="116"/>
      <c r="F88" s="115"/>
      <c r="G88" s="107">
        <f>SUM(G89:G90)</f>
        <v>21909504</v>
      </c>
    </row>
    <row r="89" spans="1:7" s="61" customFormat="1" ht="15.75" customHeight="1">
      <c r="A89" s="115"/>
      <c r="B89" s="109"/>
      <c r="C89" s="109" t="s">
        <v>187</v>
      </c>
      <c r="D89" s="109" t="s">
        <v>219</v>
      </c>
      <c r="E89" s="111"/>
      <c r="F89" s="115"/>
      <c r="G89" s="110">
        <v>20909504</v>
      </c>
    </row>
    <row r="90" spans="1:7" s="61" customFormat="1" ht="15.75" customHeight="1">
      <c r="A90" s="108"/>
      <c r="B90" s="109"/>
      <c r="C90" s="109" t="s">
        <v>220</v>
      </c>
      <c r="D90" s="109" t="s">
        <v>221</v>
      </c>
      <c r="E90" s="109"/>
      <c r="F90" s="115"/>
      <c r="G90" s="110">
        <v>1000000</v>
      </c>
    </row>
    <row r="91" spans="1:7" s="61" customFormat="1" ht="15.75" customHeight="1">
      <c r="A91" s="115"/>
      <c r="B91" s="106" t="s">
        <v>197</v>
      </c>
      <c r="C91" s="116"/>
      <c r="D91" s="106" t="s">
        <v>198</v>
      </c>
      <c r="E91" s="116"/>
      <c r="F91" s="115"/>
      <c r="G91" s="107">
        <f>SUM(G92:G93)</f>
        <v>46079981</v>
      </c>
    </row>
    <row r="92" spans="1:7" s="61" customFormat="1" ht="15.75" customHeight="1">
      <c r="A92" s="108"/>
      <c r="B92" s="109"/>
      <c r="C92" s="109" t="s">
        <v>199</v>
      </c>
      <c r="D92" s="109" t="s">
        <v>200</v>
      </c>
      <c r="E92" s="109"/>
      <c r="F92" s="115"/>
      <c r="G92" s="110">
        <v>5579981</v>
      </c>
    </row>
    <row r="93" spans="1:7" s="61" customFormat="1" ht="15.75" customHeight="1">
      <c r="A93" s="108"/>
      <c r="B93" s="109"/>
      <c r="C93" s="109" t="s">
        <v>222</v>
      </c>
      <c r="D93" s="109" t="s">
        <v>223</v>
      </c>
      <c r="E93" s="109"/>
      <c r="F93" s="115"/>
      <c r="G93" s="110">
        <v>40500000</v>
      </c>
    </row>
    <row r="94" spans="1:7" s="61" customFormat="1" ht="15.75" customHeight="1">
      <c r="A94" s="108"/>
      <c r="B94" s="99"/>
      <c r="C94" s="99"/>
      <c r="D94" s="99"/>
      <c r="E94" s="99"/>
      <c r="F94" s="109"/>
      <c r="G94" s="118"/>
    </row>
    <row r="95" spans="1:7" s="61" customFormat="1" ht="15.75" customHeight="1">
      <c r="A95" s="102" t="s">
        <v>227</v>
      </c>
      <c r="B95" s="122"/>
      <c r="C95" s="122"/>
      <c r="D95" s="122"/>
      <c r="E95" s="122"/>
      <c r="F95" s="122"/>
      <c r="G95" s="125">
        <f>SUM(G96)</f>
        <v>500000</v>
      </c>
    </row>
    <row r="96" spans="1:7" s="61" customFormat="1" ht="15.75" customHeight="1">
      <c r="A96" s="105" t="s">
        <v>31</v>
      </c>
      <c r="B96" s="106"/>
      <c r="C96" s="106" t="s">
        <v>32</v>
      </c>
      <c r="D96" s="106"/>
      <c r="E96" s="106"/>
      <c r="F96" s="109"/>
      <c r="G96" s="126">
        <f>SUM(G97)</f>
        <v>500000</v>
      </c>
    </row>
    <row r="97" spans="1:7" s="61" customFormat="1" ht="15.75" customHeight="1">
      <c r="A97" s="108"/>
      <c r="B97" s="109"/>
      <c r="C97" s="109" t="s">
        <v>202</v>
      </c>
      <c r="D97" s="109" t="s">
        <v>203</v>
      </c>
      <c r="E97" s="109"/>
      <c r="F97" s="109"/>
      <c r="G97" s="127">
        <f>G98</f>
        <v>500000</v>
      </c>
    </row>
    <row r="98" spans="1:7" s="61" customFormat="1" ht="15.75" customHeight="1">
      <c r="A98" s="108"/>
      <c r="B98" s="109"/>
      <c r="C98" s="109"/>
      <c r="D98" s="109"/>
      <c r="E98" s="109" t="s">
        <v>228</v>
      </c>
      <c r="F98" s="109"/>
      <c r="G98" s="118">
        <v>500000</v>
      </c>
    </row>
    <row r="99" spans="1:7" s="61" customFormat="1" ht="15.75" customHeight="1">
      <c r="A99" s="108"/>
      <c r="B99" s="109"/>
      <c r="C99" s="109"/>
      <c r="D99" s="109"/>
      <c r="E99" s="109"/>
      <c r="F99" s="109"/>
      <c r="G99" s="118"/>
    </row>
    <row r="100" spans="1:7" s="61" customFormat="1" ht="15.75" customHeight="1">
      <c r="A100" s="102" t="s">
        <v>229</v>
      </c>
      <c r="B100" s="122"/>
      <c r="C100" s="122"/>
      <c r="D100" s="122"/>
      <c r="E100" s="122"/>
      <c r="F100" s="122"/>
      <c r="G100" s="125">
        <f>SUM(G102)</f>
        <v>300000</v>
      </c>
    </row>
    <row r="101" spans="1:7" s="160" customFormat="1" ht="15.75" customHeight="1">
      <c r="A101" s="105" t="s">
        <v>31</v>
      </c>
      <c r="B101" s="106"/>
      <c r="C101" s="106" t="s">
        <v>32</v>
      </c>
      <c r="D101" s="106"/>
      <c r="E101" s="106"/>
      <c r="F101" s="109"/>
      <c r="G101" s="126">
        <f>SUM(G102)</f>
        <v>300000</v>
      </c>
    </row>
    <row r="102" spans="1:7" s="61" customFormat="1" ht="15.75" customHeight="1">
      <c r="A102" s="108"/>
      <c r="B102" s="109"/>
      <c r="C102" s="109" t="s">
        <v>202</v>
      </c>
      <c r="D102" s="109" t="s">
        <v>203</v>
      </c>
      <c r="E102" s="109"/>
      <c r="F102" s="109"/>
      <c r="G102" s="118">
        <v>300000</v>
      </c>
    </row>
    <row r="103" spans="1:7" s="61" customFormat="1" ht="15.75" customHeight="1">
      <c r="A103" s="108"/>
      <c r="B103" s="109"/>
      <c r="C103" s="109"/>
      <c r="D103" s="109"/>
      <c r="E103" s="109"/>
      <c r="F103" s="109"/>
      <c r="G103" s="118"/>
    </row>
    <row r="104" spans="1:7" s="61" customFormat="1" ht="15.75" customHeight="1">
      <c r="A104" s="102" t="s">
        <v>233</v>
      </c>
      <c r="B104" s="120"/>
      <c r="C104" s="120"/>
      <c r="D104" s="120"/>
      <c r="E104" s="120"/>
      <c r="F104" s="120"/>
      <c r="G104" s="104">
        <f>G105</f>
        <v>1905000</v>
      </c>
    </row>
    <row r="105" spans="1:7" s="61" customFormat="1" ht="15.75" customHeight="1">
      <c r="A105" s="105" t="s">
        <v>27</v>
      </c>
      <c r="B105" s="106"/>
      <c r="C105" s="106" t="s">
        <v>28</v>
      </c>
      <c r="D105" s="106"/>
      <c r="E105" s="106"/>
      <c r="F105" s="109"/>
      <c r="G105" s="107">
        <f>G106+G108+G110</f>
        <v>1905000</v>
      </c>
    </row>
    <row r="106" spans="1:7" s="61" customFormat="1" ht="15.75" customHeight="1">
      <c r="A106" s="115"/>
      <c r="B106" s="106" t="s">
        <v>169</v>
      </c>
      <c r="C106" s="116"/>
      <c r="D106" s="106" t="s">
        <v>170</v>
      </c>
      <c r="E106" s="117"/>
      <c r="F106" s="106"/>
      <c r="G106" s="107">
        <f>G107</f>
        <v>500000</v>
      </c>
    </row>
    <row r="107" spans="1:7" s="61" customFormat="1" ht="15.75" customHeight="1">
      <c r="A107" s="108"/>
      <c r="B107" s="109"/>
      <c r="C107" s="109" t="s">
        <v>174</v>
      </c>
      <c r="D107" s="109" t="s">
        <v>175</v>
      </c>
      <c r="E107" s="109"/>
      <c r="F107" s="109"/>
      <c r="G107" s="110">
        <v>500000</v>
      </c>
    </row>
    <row r="108" spans="1:7" s="61" customFormat="1" ht="15.75" customHeight="1">
      <c r="A108" s="115"/>
      <c r="B108" s="106" t="s">
        <v>183</v>
      </c>
      <c r="C108" s="116"/>
      <c r="D108" s="106" t="s">
        <v>184</v>
      </c>
      <c r="E108" s="116"/>
      <c r="F108" s="106"/>
      <c r="G108" s="107">
        <f>G109</f>
        <v>1000000</v>
      </c>
    </row>
    <row r="109" spans="1:7" s="61" customFormat="1" ht="15.75" customHeight="1">
      <c r="A109" s="108"/>
      <c r="B109" s="109"/>
      <c r="C109" s="109" t="s">
        <v>189</v>
      </c>
      <c r="D109" s="109" t="s">
        <v>190</v>
      </c>
      <c r="E109" s="109"/>
      <c r="F109" s="115"/>
      <c r="G109" s="110">
        <v>1000000</v>
      </c>
    </row>
    <row r="110" spans="1:7" s="61" customFormat="1" ht="15.75" customHeight="1">
      <c r="A110" s="115"/>
      <c r="B110" s="106" t="s">
        <v>197</v>
      </c>
      <c r="C110" s="116"/>
      <c r="D110" s="106" t="s">
        <v>198</v>
      </c>
      <c r="E110" s="116"/>
      <c r="F110" s="117"/>
      <c r="G110" s="107">
        <f>G111</f>
        <v>405000</v>
      </c>
    </row>
    <row r="111" spans="1:7" s="61" customFormat="1" ht="15.75" customHeight="1">
      <c r="A111" s="108"/>
      <c r="B111" s="109"/>
      <c r="C111" s="109" t="s">
        <v>199</v>
      </c>
      <c r="D111" s="109" t="s">
        <v>200</v>
      </c>
      <c r="E111" s="109"/>
      <c r="F111" s="115"/>
      <c r="G111" s="110">
        <v>405000</v>
      </c>
    </row>
    <row r="112" spans="1:7" s="61" customFormat="1" ht="15.75" customHeight="1">
      <c r="A112" s="99"/>
      <c r="B112" s="99"/>
      <c r="C112" s="99"/>
      <c r="D112" s="99"/>
      <c r="E112" s="99"/>
      <c r="F112" s="115"/>
      <c r="G112" s="110"/>
    </row>
    <row r="113" spans="1:7" s="61" customFormat="1" ht="15.75" customHeight="1">
      <c r="A113" s="102" t="s">
        <v>318</v>
      </c>
      <c r="B113" s="120"/>
      <c r="C113" s="120"/>
      <c r="D113" s="120"/>
      <c r="E113" s="120"/>
      <c r="F113" s="120"/>
      <c r="G113" s="104">
        <f>G114</f>
        <v>900000</v>
      </c>
    </row>
    <row r="114" spans="1:7" s="160" customFormat="1" ht="15.75" customHeight="1">
      <c r="A114" s="105" t="s">
        <v>27</v>
      </c>
      <c r="B114" s="106"/>
      <c r="C114" s="106" t="s">
        <v>28</v>
      </c>
      <c r="D114" s="106"/>
      <c r="E114" s="106"/>
      <c r="F114" s="109"/>
      <c r="G114" s="107">
        <f>G115+G117+G121</f>
        <v>900000</v>
      </c>
    </row>
    <row r="115" spans="1:7" s="160" customFormat="1" ht="15.75" customHeight="1">
      <c r="A115" s="115"/>
      <c r="B115" s="106" t="s">
        <v>169</v>
      </c>
      <c r="C115" s="116"/>
      <c r="D115" s="106" t="s">
        <v>170</v>
      </c>
      <c r="E115" s="117"/>
      <c r="F115" s="106"/>
      <c r="G115" s="107">
        <f>G116</f>
        <v>100000</v>
      </c>
    </row>
    <row r="116" spans="1:7" s="160" customFormat="1" ht="15.75" customHeight="1">
      <c r="A116" s="108"/>
      <c r="B116" s="109"/>
      <c r="C116" s="109" t="s">
        <v>174</v>
      </c>
      <c r="D116" s="109" t="s">
        <v>175</v>
      </c>
      <c r="E116" s="109"/>
      <c r="F116" s="109"/>
      <c r="G116" s="110">
        <v>100000</v>
      </c>
    </row>
    <row r="117" spans="1:7" s="61" customFormat="1" ht="15.75" customHeight="1">
      <c r="A117" s="115"/>
      <c r="B117" s="106" t="s">
        <v>183</v>
      </c>
      <c r="C117" s="116"/>
      <c r="D117" s="106" t="s">
        <v>184</v>
      </c>
      <c r="E117" s="116"/>
      <c r="F117" s="106"/>
      <c r="G117" s="107">
        <f>G118+G119+G120</f>
        <v>700000</v>
      </c>
    </row>
    <row r="118" spans="1:7" s="61" customFormat="1" ht="15.75" customHeight="1">
      <c r="A118" s="108"/>
      <c r="B118" s="109"/>
      <c r="C118" s="109" t="s">
        <v>185</v>
      </c>
      <c r="D118" s="109" t="s">
        <v>186</v>
      </c>
      <c r="E118" s="109"/>
      <c r="F118" s="115"/>
      <c r="G118" s="110">
        <v>200000</v>
      </c>
    </row>
    <row r="119" spans="1:7" s="61" customFormat="1" ht="15.75" customHeight="1">
      <c r="A119" s="99"/>
      <c r="B119" s="99"/>
      <c r="C119" s="109" t="s">
        <v>189</v>
      </c>
      <c r="D119" s="109" t="s">
        <v>190</v>
      </c>
      <c r="E119" s="109"/>
      <c r="F119" s="115"/>
      <c r="G119" s="110">
        <v>200000</v>
      </c>
    </row>
    <row r="120" spans="1:7" s="61" customFormat="1" ht="15.75" customHeight="1">
      <c r="A120" s="99"/>
      <c r="B120" s="99"/>
      <c r="C120" s="109" t="s">
        <v>191</v>
      </c>
      <c r="D120" s="109" t="s">
        <v>192</v>
      </c>
      <c r="E120" s="109"/>
      <c r="F120" s="115"/>
      <c r="G120" s="110">
        <v>300000</v>
      </c>
    </row>
    <row r="121" spans="1:7" s="61" customFormat="1" ht="15.75" customHeight="1">
      <c r="A121" s="99"/>
      <c r="B121" s="106" t="s">
        <v>197</v>
      </c>
      <c r="C121" s="116"/>
      <c r="D121" s="106" t="s">
        <v>198</v>
      </c>
      <c r="E121" s="116"/>
      <c r="F121" s="115"/>
      <c r="G121" s="110">
        <f>SUM(G122)</f>
        <v>100000</v>
      </c>
    </row>
    <row r="122" spans="1:7" s="61" customFormat="1" ht="15.75" customHeight="1">
      <c r="A122" s="108"/>
      <c r="B122" s="109"/>
      <c r="C122" s="109" t="s">
        <v>199</v>
      </c>
      <c r="D122" s="109" t="s">
        <v>200</v>
      </c>
      <c r="E122" s="109"/>
      <c r="F122" s="115"/>
      <c r="G122" s="110">
        <v>100000</v>
      </c>
    </row>
    <row r="123" spans="1:7" s="61" customFormat="1" ht="15.75" customHeight="1">
      <c r="A123" s="108"/>
      <c r="B123" s="109"/>
      <c r="C123" s="109"/>
      <c r="D123" s="109"/>
      <c r="E123" s="109"/>
      <c r="F123" s="115"/>
      <c r="G123" s="110"/>
    </row>
    <row r="124" spans="1:7" s="61" customFormat="1" ht="15.75" customHeight="1">
      <c r="A124" s="102" t="s">
        <v>104</v>
      </c>
      <c r="B124" s="122"/>
      <c r="C124" s="122"/>
      <c r="D124" s="122"/>
      <c r="E124" s="123"/>
      <c r="F124" s="130">
        <v>1.25</v>
      </c>
      <c r="G124" s="104">
        <f>G125+G131+G134</f>
        <v>6695736.875</v>
      </c>
    </row>
    <row r="125" spans="1:7" s="61" customFormat="1" ht="15.75" customHeight="1">
      <c r="A125" s="105" t="s">
        <v>23</v>
      </c>
      <c r="B125" s="106"/>
      <c r="C125" s="106" t="s">
        <v>150</v>
      </c>
      <c r="D125" s="106"/>
      <c r="E125" s="106"/>
      <c r="F125" s="115"/>
      <c r="G125" s="107">
        <f>G126</f>
        <v>4013625</v>
      </c>
    </row>
    <row r="126" spans="1:7" s="61" customFormat="1" ht="15.75" customHeight="1">
      <c r="A126" s="108"/>
      <c r="B126" s="106" t="s">
        <v>151</v>
      </c>
      <c r="C126" s="109"/>
      <c r="D126" s="109" t="s">
        <v>152</v>
      </c>
      <c r="E126" s="109"/>
      <c r="F126" s="115"/>
      <c r="G126" s="110">
        <f>SUM(G127:G130)</f>
        <v>4013625</v>
      </c>
    </row>
    <row r="127" spans="1:7" s="61" customFormat="1" ht="15.75" customHeight="1">
      <c r="A127" s="99"/>
      <c r="B127" s="109"/>
      <c r="C127" s="109" t="s">
        <v>153</v>
      </c>
      <c r="D127" s="109" t="s">
        <v>154</v>
      </c>
      <c r="E127" s="109"/>
      <c r="F127" s="115"/>
      <c r="G127" s="110">
        <f>3431160*1.04</f>
        <v>3568406.4</v>
      </c>
    </row>
    <row r="128" spans="1:7" s="61" customFormat="1" ht="15.75" customHeight="1">
      <c r="A128" s="99"/>
      <c r="B128" s="109"/>
      <c r="C128" s="109" t="s">
        <v>314</v>
      </c>
      <c r="D128" s="109" t="s">
        <v>324</v>
      </c>
      <c r="E128" s="109"/>
      <c r="F128" s="115"/>
      <c r="G128" s="110">
        <f>116640*1.04</f>
        <v>121305.6</v>
      </c>
    </row>
    <row r="129" spans="1:7" s="61" customFormat="1" ht="15.75" customHeight="1">
      <c r="A129" s="99"/>
      <c r="B129" s="109"/>
      <c r="C129" s="109" t="s">
        <v>230</v>
      </c>
      <c r="D129" s="109" t="s">
        <v>333</v>
      </c>
      <c r="E129" s="109"/>
      <c r="F129" s="115"/>
      <c r="G129" s="110">
        <v>150000</v>
      </c>
    </row>
    <row r="130" spans="1:7" s="61" customFormat="1" ht="15.75" customHeight="1">
      <c r="A130" s="108"/>
      <c r="B130" s="109"/>
      <c r="C130" s="109" t="s">
        <v>155</v>
      </c>
      <c r="D130" s="109" t="s">
        <v>156</v>
      </c>
      <c r="E130" s="109"/>
      <c r="F130" s="115"/>
      <c r="G130" s="110">
        <v>173913</v>
      </c>
    </row>
    <row r="131" spans="1:7" s="61" customFormat="1" ht="15.75" customHeight="1">
      <c r="A131" s="105" t="s">
        <v>25</v>
      </c>
      <c r="B131" s="106"/>
      <c r="C131" s="106" t="s">
        <v>166</v>
      </c>
      <c r="D131" s="113"/>
      <c r="E131" s="113"/>
      <c r="F131" s="115"/>
      <c r="G131" s="107">
        <f>SUM(G132:G133)</f>
        <v>622111.875</v>
      </c>
    </row>
    <row r="132" spans="1:7" s="61" customFormat="1" ht="15.75" customHeight="1">
      <c r="A132" s="108"/>
      <c r="B132" s="109"/>
      <c r="C132" s="109"/>
      <c r="D132" s="111" t="s">
        <v>167</v>
      </c>
      <c r="E132" s="109"/>
      <c r="F132" s="115"/>
      <c r="G132" s="110">
        <f>G126*0.155</f>
        <v>622111.875</v>
      </c>
    </row>
    <row r="133" spans="1:7" s="61" customFormat="1" ht="15.75" customHeight="1">
      <c r="A133" s="108"/>
      <c r="B133" s="109"/>
      <c r="C133" s="109"/>
      <c r="D133" s="111" t="s">
        <v>168</v>
      </c>
      <c r="E133" s="109"/>
      <c r="F133" s="115"/>
      <c r="G133" s="110"/>
    </row>
    <row r="134" spans="1:7" s="61" customFormat="1" ht="15.75" customHeight="1">
      <c r="A134" s="105" t="s">
        <v>27</v>
      </c>
      <c r="B134" s="106"/>
      <c r="C134" s="106" t="s">
        <v>28</v>
      </c>
      <c r="D134" s="106"/>
      <c r="E134" s="106"/>
      <c r="F134" s="111"/>
      <c r="G134" s="107">
        <f>G135+G139+G142+G149+G146</f>
        <v>2060000</v>
      </c>
    </row>
    <row r="135" spans="1:7" s="61" customFormat="1" ht="15.75" customHeight="1">
      <c r="A135" s="115"/>
      <c r="B135" s="106" t="s">
        <v>169</v>
      </c>
      <c r="C135" s="116"/>
      <c r="D135" s="106" t="s">
        <v>170</v>
      </c>
      <c r="E135" s="117"/>
      <c r="F135" s="111"/>
      <c r="G135" s="107">
        <f>G136+G137+G138</f>
        <v>750000</v>
      </c>
    </row>
    <row r="136" spans="1:7" s="61" customFormat="1" ht="15.75" customHeight="1">
      <c r="A136" s="108"/>
      <c r="B136" s="109"/>
      <c r="C136" s="109" t="s">
        <v>171</v>
      </c>
      <c r="D136" s="109" t="s">
        <v>172</v>
      </c>
      <c r="E136" s="115"/>
      <c r="F136" s="111"/>
      <c r="G136" s="110">
        <v>50000</v>
      </c>
    </row>
    <row r="137" spans="1:7" s="61" customFormat="1" ht="15.75" customHeight="1">
      <c r="A137" s="108"/>
      <c r="B137" s="109"/>
      <c r="C137" s="109" t="s">
        <v>174</v>
      </c>
      <c r="D137" s="109" t="s">
        <v>175</v>
      </c>
      <c r="E137" s="109"/>
      <c r="F137" s="111"/>
      <c r="G137" s="110">
        <v>100000</v>
      </c>
    </row>
    <row r="138" spans="1:7" s="61" customFormat="1" ht="15.75" customHeight="1">
      <c r="A138" s="105"/>
      <c r="B138" s="106"/>
      <c r="C138" s="109" t="s">
        <v>238</v>
      </c>
      <c r="D138" s="109" t="s">
        <v>239</v>
      </c>
      <c r="E138" s="109"/>
      <c r="F138" s="115"/>
      <c r="G138" s="118">
        <v>600000</v>
      </c>
    </row>
    <row r="139" spans="1:7" s="69" customFormat="1" ht="15.75" customHeight="1">
      <c r="A139" s="115"/>
      <c r="B139" s="106" t="s">
        <v>177</v>
      </c>
      <c r="C139" s="116"/>
      <c r="D139" s="106" t="s">
        <v>178</v>
      </c>
      <c r="E139" s="116"/>
      <c r="F139" s="117"/>
      <c r="G139" s="107">
        <f>G140+G141</f>
        <v>180000</v>
      </c>
    </row>
    <row r="140" spans="1:7" s="61" customFormat="1" ht="15.75" customHeight="1">
      <c r="A140" s="108"/>
      <c r="B140" s="109"/>
      <c r="C140" s="109" t="s">
        <v>179</v>
      </c>
      <c r="D140" s="109" t="s">
        <v>180</v>
      </c>
      <c r="E140" s="109"/>
      <c r="F140" s="115"/>
      <c r="G140" s="110">
        <v>90000</v>
      </c>
    </row>
    <row r="141" spans="1:7" s="61" customFormat="1" ht="15.75" customHeight="1">
      <c r="A141" s="108"/>
      <c r="B141" s="109"/>
      <c r="C141" s="109" t="s">
        <v>181</v>
      </c>
      <c r="D141" s="109" t="s">
        <v>182</v>
      </c>
      <c r="E141" s="109"/>
      <c r="F141" s="115"/>
      <c r="G141" s="110">
        <v>90000</v>
      </c>
    </row>
    <row r="142" spans="1:7" s="61" customFormat="1" ht="15.75" customHeight="1">
      <c r="A142" s="115"/>
      <c r="B142" s="106" t="s">
        <v>183</v>
      </c>
      <c r="C142" s="116"/>
      <c r="D142" s="106" t="s">
        <v>184</v>
      </c>
      <c r="E142" s="116"/>
      <c r="F142" s="115"/>
      <c r="G142" s="107">
        <f>G143+G144+G145</f>
        <v>480000</v>
      </c>
    </row>
    <row r="143" spans="1:7" s="61" customFormat="1" ht="15.75" customHeight="1">
      <c r="A143" s="108"/>
      <c r="B143" s="109"/>
      <c r="C143" s="109" t="s">
        <v>185</v>
      </c>
      <c r="D143" s="109" t="s">
        <v>186</v>
      </c>
      <c r="E143" s="109"/>
      <c r="F143" s="115"/>
      <c r="G143" s="110">
        <v>200000</v>
      </c>
    </row>
    <row r="144" spans="1:7" s="61" customFormat="1" ht="15.75" customHeight="1">
      <c r="A144" s="108"/>
      <c r="B144" s="109"/>
      <c r="C144" s="109" t="s">
        <v>189</v>
      </c>
      <c r="D144" s="109" t="s">
        <v>190</v>
      </c>
      <c r="E144" s="109"/>
      <c r="F144" s="115"/>
      <c r="G144" s="110">
        <v>30000</v>
      </c>
    </row>
    <row r="145" spans="1:7" s="61" customFormat="1" ht="15.75" customHeight="1">
      <c r="A145" s="108"/>
      <c r="B145" s="109"/>
      <c r="C145" s="109" t="s">
        <v>191</v>
      </c>
      <c r="D145" s="109" t="s">
        <v>192</v>
      </c>
      <c r="E145" s="109"/>
      <c r="F145" s="115"/>
      <c r="G145" s="110">
        <v>250000</v>
      </c>
    </row>
    <row r="146" spans="1:7" s="61" customFormat="1" ht="15.75" customHeight="1">
      <c r="A146" s="115"/>
      <c r="B146" s="106" t="s">
        <v>193</v>
      </c>
      <c r="C146" s="116"/>
      <c r="D146" s="106" t="s">
        <v>194</v>
      </c>
      <c r="E146" s="116"/>
      <c r="F146" s="115"/>
      <c r="G146" s="107">
        <f>G147+G148</f>
        <v>350000</v>
      </c>
    </row>
    <row r="147" spans="1:7" s="61" customFormat="1" ht="15.75" customHeight="1">
      <c r="A147" s="108"/>
      <c r="B147" s="109"/>
      <c r="C147" s="109" t="s">
        <v>195</v>
      </c>
      <c r="D147" s="109" t="s">
        <v>196</v>
      </c>
      <c r="E147" s="109"/>
      <c r="F147" s="115"/>
      <c r="G147" s="110">
        <v>50000</v>
      </c>
    </row>
    <row r="148" spans="1:7" s="61" customFormat="1" ht="15.75" customHeight="1">
      <c r="A148" s="108"/>
      <c r="B148" s="109"/>
      <c r="C148" s="109" t="s">
        <v>240</v>
      </c>
      <c r="D148" s="109" t="s">
        <v>241</v>
      </c>
      <c r="E148" s="109"/>
      <c r="F148" s="115"/>
      <c r="G148" s="110">
        <v>300000</v>
      </c>
    </row>
    <row r="149" spans="1:7" s="61" customFormat="1" ht="15.75" customHeight="1">
      <c r="A149" s="115"/>
      <c r="B149" s="106" t="s">
        <v>197</v>
      </c>
      <c r="C149" s="116"/>
      <c r="D149" s="106" t="s">
        <v>198</v>
      </c>
      <c r="E149" s="116"/>
      <c r="F149" s="115"/>
      <c r="G149" s="107">
        <f>SUM(G150)</f>
        <v>300000</v>
      </c>
    </row>
    <row r="150" spans="1:7" s="61" customFormat="1" ht="15.75" customHeight="1">
      <c r="A150" s="108"/>
      <c r="B150" s="109"/>
      <c r="C150" s="109" t="s">
        <v>199</v>
      </c>
      <c r="D150" s="109" t="s">
        <v>200</v>
      </c>
      <c r="E150" s="109"/>
      <c r="F150" s="115"/>
      <c r="G150" s="118">
        <v>300000</v>
      </c>
    </row>
    <row r="151" spans="1:7" ht="15.75" customHeight="1">
      <c r="A151" s="108"/>
      <c r="B151" s="109"/>
      <c r="C151" s="109"/>
      <c r="D151" s="109"/>
      <c r="E151" s="109"/>
      <c r="F151" s="109"/>
      <c r="G151" s="110"/>
    </row>
    <row r="152" spans="1:7" ht="15.75" customHeight="1">
      <c r="A152" s="102" t="s">
        <v>334</v>
      </c>
      <c r="B152" s="122"/>
      <c r="C152" s="122"/>
      <c r="D152" s="122"/>
      <c r="E152" s="122"/>
      <c r="F152" s="122"/>
      <c r="G152" s="104">
        <f>G153</f>
        <v>4248277</v>
      </c>
    </row>
    <row r="153" spans="1:7" ht="15.75" customHeight="1">
      <c r="A153" s="119" t="s">
        <v>36</v>
      </c>
      <c r="B153" s="109"/>
      <c r="C153" s="106" t="s">
        <v>37</v>
      </c>
      <c r="D153" s="109"/>
      <c r="E153" s="109"/>
      <c r="F153" s="109"/>
      <c r="G153" s="107">
        <f>SUM(G154:G155)</f>
        <v>4248277</v>
      </c>
    </row>
    <row r="154" spans="1:7" ht="15.75" customHeight="1">
      <c r="A154" s="119"/>
      <c r="B154" s="129" t="s">
        <v>234</v>
      </c>
      <c r="C154" s="99"/>
      <c r="D154" s="99" t="s">
        <v>235</v>
      </c>
      <c r="E154" s="109"/>
      <c r="F154" s="109"/>
      <c r="G154" s="110">
        <v>3345100</v>
      </c>
    </row>
    <row r="155" spans="1:7" ht="15.75" customHeight="1">
      <c r="A155" s="108"/>
      <c r="B155" s="129" t="s">
        <v>236</v>
      </c>
      <c r="C155" s="99"/>
      <c r="D155" s="99" t="s">
        <v>237</v>
      </c>
      <c r="E155" s="109"/>
      <c r="F155" s="109"/>
      <c r="G155" s="110">
        <v>903177</v>
      </c>
    </row>
    <row r="156" spans="1:7" ht="15.75" customHeight="1">
      <c r="A156" s="108"/>
      <c r="B156" s="109"/>
      <c r="C156" s="109"/>
      <c r="D156" s="109"/>
      <c r="E156" s="109"/>
      <c r="F156" s="109"/>
      <c r="G156" s="110"/>
    </row>
    <row r="157" spans="1:7" s="61" customFormat="1" ht="15.75" customHeight="1">
      <c r="A157" s="102" t="s">
        <v>242</v>
      </c>
      <c r="B157" s="122"/>
      <c r="C157" s="122"/>
      <c r="D157" s="122"/>
      <c r="E157" s="122"/>
      <c r="F157" s="122"/>
      <c r="G157" s="104">
        <f>SUM(G158)</f>
        <v>16300000</v>
      </c>
    </row>
    <row r="158" spans="1:7" s="61" customFormat="1" ht="15.75" customHeight="1">
      <c r="A158" s="105" t="s">
        <v>27</v>
      </c>
      <c r="B158" s="106"/>
      <c r="C158" s="106" t="s">
        <v>28</v>
      </c>
      <c r="D158" s="106"/>
      <c r="E158" s="106"/>
      <c r="F158" s="115"/>
      <c r="G158" s="132">
        <f>G159+G162</f>
        <v>16300000</v>
      </c>
    </row>
    <row r="159" spans="1:7" s="61" customFormat="1" ht="15.75" customHeight="1">
      <c r="A159" s="115"/>
      <c r="B159" s="106" t="s">
        <v>183</v>
      </c>
      <c r="C159" s="116"/>
      <c r="D159" s="106" t="s">
        <v>184</v>
      </c>
      <c r="E159" s="116"/>
      <c r="F159" s="115"/>
      <c r="G159" s="107">
        <f>G160+G161</f>
        <v>13000000</v>
      </c>
    </row>
    <row r="160" spans="1:7" s="61" customFormat="1" ht="15.75" customHeight="1">
      <c r="A160" s="108"/>
      <c r="B160" s="109"/>
      <c r="C160" s="109" t="s">
        <v>185</v>
      </c>
      <c r="D160" s="109" t="s">
        <v>186</v>
      </c>
      <c r="E160" s="109"/>
      <c r="F160" s="115"/>
      <c r="G160" s="131">
        <v>12000000</v>
      </c>
    </row>
    <row r="161" spans="1:7" ht="15.75" customHeight="1">
      <c r="A161" s="108"/>
      <c r="B161" s="109"/>
      <c r="C161" s="109" t="s">
        <v>189</v>
      </c>
      <c r="D161" s="109" t="s">
        <v>190</v>
      </c>
      <c r="E161" s="109"/>
      <c r="F161" s="109"/>
      <c r="G161" s="133">
        <v>1000000</v>
      </c>
    </row>
    <row r="162" spans="1:7" ht="15.75" customHeight="1">
      <c r="A162" s="115"/>
      <c r="B162" s="106" t="s">
        <v>197</v>
      </c>
      <c r="C162" s="116"/>
      <c r="D162" s="106" t="s">
        <v>198</v>
      </c>
      <c r="E162" s="116"/>
      <c r="F162" s="109"/>
      <c r="G162" s="134">
        <f>G163</f>
        <v>3300000</v>
      </c>
    </row>
    <row r="163" spans="1:7" ht="15.75" customHeight="1">
      <c r="A163" s="108"/>
      <c r="B163" s="109"/>
      <c r="C163" s="109" t="s">
        <v>199</v>
      </c>
      <c r="D163" s="109" t="s">
        <v>200</v>
      </c>
      <c r="E163" s="109"/>
      <c r="F163" s="109"/>
      <c r="G163" s="135">
        <v>3300000</v>
      </c>
    </row>
    <row r="164" spans="1:7" ht="15.75" customHeight="1">
      <c r="A164" s="108"/>
      <c r="B164" s="109"/>
      <c r="C164" s="109"/>
      <c r="D164" s="109"/>
      <c r="E164" s="111"/>
      <c r="F164" s="109"/>
      <c r="G164" s="136"/>
    </row>
    <row r="165" spans="1:7" ht="15.75" customHeight="1">
      <c r="A165" s="102" t="s">
        <v>243</v>
      </c>
      <c r="B165" s="122"/>
      <c r="C165" s="122"/>
      <c r="D165" s="122"/>
      <c r="E165" s="122"/>
      <c r="F165" s="130">
        <v>1</v>
      </c>
      <c r="G165" s="125">
        <f>G166+G171+G174</f>
        <v>7228344.015000001</v>
      </c>
    </row>
    <row r="166" spans="1:7" ht="15.75" customHeight="1">
      <c r="A166" s="105" t="s">
        <v>23</v>
      </c>
      <c r="B166" s="106"/>
      <c r="C166" s="106" t="s">
        <v>150</v>
      </c>
      <c r="D166" s="106"/>
      <c r="E166" s="106"/>
      <c r="F166" s="106"/>
      <c r="G166" s="128">
        <f>SUM(G167)</f>
        <v>2751813</v>
      </c>
    </row>
    <row r="167" spans="1:7" ht="15.75" customHeight="1">
      <c r="A167" s="108"/>
      <c r="B167" s="106" t="s">
        <v>151</v>
      </c>
      <c r="C167" s="109"/>
      <c r="D167" s="109" t="s">
        <v>152</v>
      </c>
      <c r="E167" s="109"/>
      <c r="F167" s="106"/>
      <c r="G167" s="126">
        <f>SUM(G168:G170)</f>
        <v>2751813</v>
      </c>
    </row>
    <row r="168" spans="1:7" ht="15.75" customHeight="1">
      <c r="A168" s="99"/>
      <c r="B168" s="109"/>
      <c r="C168" s="109" t="s">
        <v>153</v>
      </c>
      <c r="D168" s="109" t="s">
        <v>154</v>
      </c>
      <c r="E168" s="109"/>
      <c r="F168" s="106"/>
      <c r="G168" s="126">
        <f>2379600*1.04</f>
        <v>2474784</v>
      </c>
    </row>
    <row r="169" spans="1:7" ht="15.75" customHeight="1">
      <c r="A169" s="99"/>
      <c r="B169" s="109"/>
      <c r="C169" s="109" t="s">
        <v>314</v>
      </c>
      <c r="D169" s="109" t="s">
        <v>324</v>
      </c>
      <c r="E169" s="109"/>
      <c r="F169" s="106"/>
      <c r="G169" s="126">
        <f>99150*1.04</f>
        <v>103116</v>
      </c>
    </row>
    <row r="170" spans="1:7" ht="15.75" customHeight="1">
      <c r="A170" s="99"/>
      <c r="B170" s="109"/>
      <c r="C170" s="109" t="s">
        <v>155</v>
      </c>
      <c r="D170" s="109" t="s">
        <v>156</v>
      </c>
      <c r="E170" s="109"/>
      <c r="F170" s="106"/>
      <c r="G170" s="126">
        <v>173913</v>
      </c>
    </row>
    <row r="171" spans="1:7" ht="15.75" customHeight="1">
      <c r="A171" s="105" t="s">
        <v>25</v>
      </c>
      <c r="B171" s="106"/>
      <c r="C171" s="106" t="s">
        <v>166</v>
      </c>
      <c r="D171" s="113"/>
      <c r="E171" s="113"/>
      <c r="F171" s="106"/>
      <c r="G171" s="128">
        <f>SUM(G172:G173)</f>
        <v>426531.015</v>
      </c>
    </row>
    <row r="172" spans="1:7" ht="15.75" customHeight="1">
      <c r="A172" s="108"/>
      <c r="B172" s="109"/>
      <c r="C172" s="109"/>
      <c r="D172" s="111" t="s">
        <v>167</v>
      </c>
      <c r="E172" s="109"/>
      <c r="F172" s="106"/>
      <c r="G172" s="126">
        <f>G167*0.155</f>
        <v>426531.015</v>
      </c>
    </row>
    <row r="173" spans="1:7" ht="15.75" customHeight="1">
      <c r="A173" s="108"/>
      <c r="B173" s="109"/>
      <c r="C173" s="109"/>
      <c r="D173" s="111" t="s">
        <v>168</v>
      </c>
      <c r="E173" s="109"/>
      <c r="F173" s="106"/>
      <c r="G173" s="126"/>
    </row>
    <row r="174" spans="1:7" ht="15.75" customHeight="1">
      <c r="A174" s="105" t="s">
        <v>27</v>
      </c>
      <c r="B174" s="106"/>
      <c r="C174" s="106" t="s">
        <v>28</v>
      </c>
      <c r="D174" s="106"/>
      <c r="E174" s="106"/>
      <c r="F174" s="109"/>
      <c r="G174" s="137">
        <f>G175+G177+G180</f>
        <v>4050000</v>
      </c>
    </row>
    <row r="175" spans="1:7" ht="15.75" customHeight="1">
      <c r="A175" s="115"/>
      <c r="B175" s="106" t="s">
        <v>169</v>
      </c>
      <c r="C175" s="116"/>
      <c r="D175" s="106" t="s">
        <v>170</v>
      </c>
      <c r="E175" s="117"/>
      <c r="F175" s="109"/>
      <c r="G175" s="138">
        <f>G176</f>
        <v>1500000</v>
      </c>
    </row>
    <row r="176" spans="1:7" ht="15.75" customHeight="1">
      <c r="A176" s="108"/>
      <c r="B176" s="109"/>
      <c r="C176" s="109" t="s">
        <v>174</v>
      </c>
      <c r="D176" s="109" t="s">
        <v>175</v>
      </c>
      <c r="E176" s="109"/>
      <c r="F176" s="109"/>
      <c r="G176" s="131">
        <v>1500000</v>
      </c>
    </row>
    <row r="177" spans="1:7" ht="15.75" customHeight="1">
      <c r="A177" s="115"/>
      <c r="B177" s="106" t="s">
        <v>183</v>
      </c>
      <c r="C177" s="116"/>
      <c r="D177" s="106" t="s">
        <v>184</v>
      </c>
      <c r="E177" s="116"/>
      <c r="F177" s="109"/>
      <c r="G177" s="137">
        <f>G178+G179</f>
        <v>1650000</v>
      </c>
    </row>
    <row r="178" spans="1:7" ht="15.75" customHeight="1">
      <c r="A178" s="108"/>
      <c r="B178" s="109"/>
      <c r="C178" s="109" t="s">
        <v>189</v>
      </c>
      <c r="D178" s="109" t="s">
        <v>190</v>
      </c>
      <c r="E178" s="109"/>
      <c r="F178" s="109"/>
      <c r="G178" s="131">
        <v>150000</v>
      </c>
    </row>
    <row r="179" spans="1:7" ht="15.75" customHeight="1">
      <c r="A179" s="108"/>
      <c r="B179" s="109"/>
      <c r="C179" s="109" t="s">
        <v>191</v>
      </c>
      <c r="D179" s="109" t="s">
        <v>192</v>
      </c>
      <c r="E179" s="109"/>
      <c r="F179" s="109"/>
      <c r="G179" s="131">
        <v>1500000</v>
      </c>
    </row>
    <row r="180" spans="1:7" ht="15.75" customHeight="1">
      <c r="A180" s="115"/>
      <c r="B180" s="106" t="s">
        <v>197</v>
      </c>
      <c r="C180" s="116"/>
      <c r="D180" s="106" t="s">
        <v>198</v>
      </c>
      <c r="E180" s="116"/>
      <c r="F180" s="109"/>
      <c r="G180" s="138">
        <f>G181</f>
        <v>900000</v>
      </c>
    </row>
    <row r="181" spans="1:7" ht="15.75" customHeight="1">
      <c r="A181" s="108"/>
      <c r="B181" s="109"/>
      <c r="C181" s="109" t="s">
        <v>199</v>
      </c>
      <c r="D181" s="109" t="s">
        <v>200</v>
      </c>
      <c r="E181" s="109"/>
      <c r="F181" s="109"/>
      <c r="G181" s="139">
        <v>900000</v>
      </c>
    </row>
    <row r="182" spans="1:7" ht="15.75" customHeight="1">
      <c r="A182" s="108"/>
      <c r="B182" s="109"/>
      <c r="C182" s="109"/>
      <c r="D182" s="111"/>
      <c r="E182" s="111"/>
      <c r="F182" s="109"/>
      <c r="G182" s="139"/>
    </row>
    <row r="183" spans="1:7" ht="15.75" customHeight="1">
      <c r="A183" s="102" t="s">
        <v>107</v>
      </c>
      <c r="B183" s="122"/>
      <c r="C183" s="122"/>
      <c r="D183" s="122"/>
      <c r="E183" s="122"/>
      <c r="F183" s="130">
        <v>15</v>
      </c>
      <c r="G183" s="140">
        <f>G184+G194+G197+G215+G210</f>
        <v>134991784.743</v>
      </c>
    </row>
    <row r="184" spans="1:7" ht="15.75" customHeight="1">
      <c r="A184" s="105" t="s">
        <v>23</v>
      </c>
      <c r="B184" s="106"/>
      <c r="C184" s="106" t="s">
        <v>150</v>
      </c>
      <c r="D184" s="106"/>
      <c r="E184" s="106"/>
      <c r="F184" s="141"/>
      <c r="G184" s="128">
        <f>G185+G192</f>
        <v>53932510.6</v>
      </c>
    </row>
    <row r="185" spans="1:7" ht="15.75" customHeight="1">
      <c r="A185" s="108"/>
      <c r="B185" s="106" t="s">
        <v>151</v>
      </c>
      <c r="C185" s="106"/>
      <c r="D185" s="106" t="s">
        <v>152</v>
      </c>
      <c r="E185" s="106"/>
      <c r="F185" s="109"/>
      <c r="G185" s="128">
        <f>SUM(G186:G191)</f>
        <v>49348510.6</v>
      </c>
    </row>
    <row r="186" spans="1:7" ht="15.75" customHeight="1">
      <c r="A186" s="99"/>
      <c r="B186" s="109"/>
      <c r="C186" s="109" t="s">
        <v>153</v>
      </c>
      <c r="D186" s="109" t="s">
        <v>154</v>
      </c>
      <c r="E186" s="109"/>
      <c r="F186" s="109"/>
      <c r="G186" s="127">
        <f>40865040*1.04-710000</f>
        <v>41789641.6</v>
      </c>
    </row>
    <row r="187" spans="1:7" ht="15.75" customHeight="1">
      <c r="A187" s="99"/>
      <c r="B187" s="109"/>
      <c r="C187" s="109" t="s">
        <v>314</v>
      </c>
      <c r="D187" s="109" t="s">
        <v>324</v>
      </c>
      <c r="E187" s="109"/>
      <c r="F187" s="109"/>
      <c r="G187" s="127">
        <f>1450000*1.04</f>
        <v>1508000</v>
      </c>
    </row>
    <row r="188" spans="1:7" ht="15.75" customHeight="1">
      <c r="A188" s="99"/>
      <c r="B188" s="109"/>
      <c r="C188" s="109" t="s">
        <v>230</v>
      </c>
      <c r="D188" s="109" t="s">
        <v>231</v>
      </c>
      <c r="E188" s="109"/>
      <c r="F188" s="109"/>
      <c r="G188" s="126">
        <v>3000000</v>
      </c>
    </row>
    <row r="189" spans="1:7" ht="15.75" customHeight="1">
      <c r="A189" s="108"/>
      <c r="B189" s="109"/>
      <c r="C189" s="109" t="s">
        <v>155</v>
      </c>
      <c r="D189" s="109" t="s">
        <v>156</v>
      </c>
      <c r="E189" s="109"/>
      <c r="F189" s="109"/>
      <c r="G189" s="126">
        <v>2260869</v>
      </c>
    </row>
    <row r="190" spans="1:7" ht="15.75" customHeight="1">
      <c r="A190" s="108"/>
      <c r="B190" s="109"/>
      <c r="C190" s="109" t="s">
        <v>244</v>
      </c>
      <c r="D190" s="109" t="s">
        <v>245</v>
      </c>
      <c r="E190" s="109"/>
      <c r="F190" s="109"/>
      <c r="G190" s="126">
        <v>80000</v>
      </c>
    </row>
    <row r="191" spans="1:7" ht="15.75" customHeight="1">
      <c r="A191" s="108"/>
      <c r="B191" s="109"/>
      <c r="C191" s="108" t="s">
        <v>218</v>
      </c>
      <c r="D191" s="109" t="s">
        <v>336</v>
      </c>
      <c r="E191" s="109"/>
      <c r="F191" s="109"/>
      <c r="G191" s="126">
        <v>710000</v>
      </c>
    </row>
    <row r="192" spans="1:7" ht="15.75" customHeight="1">
      <c r="A192" s="108"/>
      <c r="B192" s="106" t="s">
        <v>157</v>
      </c>
      <c r="C192" s="106"/>
      <c r="D192" s="106" t="s">
        <v>158</v>
      </c>
      <c r="E192" s="106"/>
      <c r="F192" s="106"/>
      <c r="G192" s="128">
        <f>G193</f>
        <v>4584000</v>
      </c>
    </row>
    <row r="193" spans="1:7" ht="15.75" customHeight="1">
      <c r="A193" s="108"/>
      <c r="B193" s="109"/>
      <c r="C193" s="109" t="s">
        <v>246</v>
      </c>
      <c r="D193" s="109" t="s">
        <v>247</v>
      </c>
      <c r="E193" s="109"/>
      <c r="F193" s="109"/>
      <c r="G193" s="126">
        <f>1320000+3264000</f>
        <v>4584000</v>
      </c>
    </row>
    <row r="194" spans="1:7" ht="15.75" customHeight="1">
      <c r="A194" s="105" t="s">
        <v>25</v>
      </c>
      <c r="B194" s="106"/>
      <c r="C194" s="106" t="s">
        <v>166</v>
      </c>
      <c r="D194" s="113"/>
      <c r="E194" s="113"/>
      <c r="F194" s="109"/>
      <c r="G194" s="128">
        <f>SUM(G195:G196)</f>
        <v>8359539.143</v>
      </c>
    </row>
    <row r="195" spans="1:7" ht="15.75" customHeight="1">
      <c r="A195" s="108"/>
      <c r="B195" s="109"/>
      <c r="C195" s="109" t="s">
        <v>232</v>
      </c>
      <c r="D195" s="111" t="s">
        <v>167</v>
      </c>
      <c r="E195" s="109"/>
      <c r="F195" s="109"/>
      <c r="G195" s="127">
        <f>(G185+G192)*0.155</f>
        <v>8359539.143</v>
      </c>
    </row>
    <row r="196" spans="1:7" ht="15.75" customHeight="1">
      <c r="A196" s="108"/>
      <c r="B196" s="109"/>
      <c r="C196" s="109" t="s">
        <v>248</v>
      </c>
      <c r="D196" s="111" t="s">
        <v>168</v>
      </c>
      <c r="E196" s="109"/>
      <c r="F196" s="109"/>
      <c r="G196" s="126"/>
    </row>
    <row r="197" spans="1:7" ht="15.75" customHeight="1">
      <c r="A197" s="105" t="s">
        <v>27</v>
      </c>
      <c r="B197" s="106"/>
      <c r="C197" s="106" t="s">
        <v>28</v>
      </c>
      <c r="D197" s="106"/>
      <c r="E197" s="106"/>
      <c r="F197" s="109"/>
      <c r="G197" s="128">
        <f>G198+G201+G204+G208</f>
        <v>27930000</v>
      </c>
    </row>
    <row r="198" spans="1:7" ht="15.75" customHeight="1">
      <c r="A198" s="115"/>
      <c r="B198" s="106" t="s">
        <v>169</v>
      </c>
      <c r="C198" s="116"/>
      <c r="D198" s="106" t="s">
        <v>170</v>
      </c>
      <c r="E198" s="117"/>
      <c r="F198" s="109"/>
      <c r="G198" s="128">
        <f>G199+G200</f>
        <v>6000000</v>
      </c>
    </row>
    <row r="199" spans="1:7" ht="15.75" customHeight="1">
      <c r="A199" s="108"/>
      <c r="B199" s="109"/>
      <c r="C199" s="109" t="s">
        <v>171</v>
      </c>
      <c r="D199" s="109" t="s">
        <v>172</v>
      </c>
      <c r="E199" s="115"/>
      <c r="F199" s="109"/>
      <c r="G199" s="126">
        <v>100000</v>
      </c>
    </row>
    <row r="200" spans="1:7" ht="15.75" customHeight="1">
      <c r="A200" s="108"/>
      <c r="B200" s="109"/>
      <c r="C200" s="109" t="s">
        <v>174</v>
      </c>
      <c r="D200" s="109" t="s">
        <v>175</v>
      </c>
      <c r="E200" s="109"/>
      <c r="F200" s="109"/>
      <c r="G200" s="126">
        <f>6000000-100000</f>
        <v>5900000</v>
      </c>
    </row>
    <row r="201" spans="1:7" ht="15.75" customHeight="1">
      <c r="A201" s="115"/>
      <c r="B201" s="106" t="s">
        <v>177</v>
      </c>
      <c r="C201" s="116"/>
      <c r="D201" s="106" t="s">
        <v>178</v>
      </c>
      <c r="E201" s="116"/>
      <c r="F201" s="109"/>
      <c r="G201" s="128">
        <f>G202+G203</f>
        <v>900000</v>
      </c>
    </row>
    <row r="202" spans="1:7" ht="15.75" customHeight="1">
      <c r="A202" s="108"/>
      <c r="B202" s="109"/>
      <c r="C202" s="109" t="s">
        <v>179</v>
      </c>
      <c r="D202" s="109" t="s">
        <v>180</v>
      </c>
      <c r="E202" s="109"/>
      <c r="F202" s="109"/>
      <c r="G202" s="126">
        <v>600000</v>
      </c>
    </row>
    <row r="203" spans="1:7" ht="15.75" customHeight="1">
      <c r="A203" s="108"/>
      <c r="B203" s="109"/>
      <c r="C203" s="109" t="s">
        <v>181</v>
      </c>
      <c r="D203" s="109" t="s">
        <v>182</v>
      </c>
      <c r="E203" s="109"/>
      <c r="F203" s="109"/>
      <c r="G203" s="126">
        <v>300000</v>
      </c>
    </row>
    <row r="204" spans="1:7" ht="15.75" customHeight="1">
      <c r="A204" s="115"/>
      <c r="B204" s="106" t="s">
        <v>183</v>
      </c>
      <c r="C204" s="116"/>
      <c r="D204" s="106" t="s">
        <v>184</v>
      </c>
      <c r="E204" s="116"/>
      <c r="F204" s="109"/>
      <c r="G204" s="128">
        <f>G205+G206+G207</f>
        <v>15300000</v>
      </c>
    </row>
    <row r="205" spans="1:7" ht="15.75" customHeight="1">
      <c r="A205" s="108"/>
      <c r="B205" s="109"/>
      <c r="C205" s="109" t="s">
        <v>185</v>
      </c>
      <c r="D205" s="109" t="s">
        <v>186</v>
      </c>
      <c r="E205" s="109"/>
      <c r="F205" s="109"/>
      <c r="G205" s="126">
        <v>3800000</v>
      </c>
    </row>
    <row r="206" spans="1:7" ht="15.75" customHeight="1">
      <c r="A206" s="108"/>
      <c r="B206" s="109"/>
      <c r="C206" s="109" t="s">
        <v>189</v>
      </c>
      <c r="D206" s="109" t="s">
        <v>190</v>
      </c>
      <c r="E206" s="109"/>
      <c r="F206" s="109"/>
      <c r="G206" s="126">
        <v>4500000</v>
      </c>
    </row>
    <row r="207" spans="1:7" ht="15.75" customHeight="1">
      <c r="A207" s="108"/>
      <c r="B207" s="109"/>
      <c r="C207" s="109" t="s">
        <v>191</v>
      </c>
      <c r="D207" s="109" t="s">
        <v>192</v>
      </c>
      <c r="E207" s="109"/>
      <c r="F207" s="109"/>
      <c r="G207" s="126">
        <v>7000000</v>
      </c>
    </row>
    <row r="208" spans="1:7" ht="15.75" customHeight="1">
      <c r="A208" s="115"/>
      <c r="B208" s="106" t="s">
        <v>197</v>
      </c>
      <c r="C208" s="116"/>
      <c r="D208" s="106" t="s">
        <v>198</v>
      </c>
      <c r="E208" s="116"/>
      <c r="F208" s="109"/>
      <c r="G208" s="128">
        <f>SUM(G209)</f>
        <v>5730000</v>
      </c>
    </row>
    <row r="209" spans="1:7" ht="15.75" customHeight="1">
      <c r="A209" s="108"/>
      <c r="B209" s="109"/>
      <c r="C209" s="109" t="s">
        <v>199</v>
      </c>
      <c r="D209" s="109" t="s">
        <v>200</v>
      </c>
      <c r="E209" s="109"/>
      <c r="F209" s="109"/>
      <c r="G209" s="127">
        <f>6000000-270000</f>
        <v>5730000</v>
      </c>
    </row>
    <row r="210" spans="1:7" ht="15.75" customHeight="1">
      <c r="A210" s="119" t="s">
        <v>34</v>
      </c>
      <c r="B210" s="109"/>
      <c r="C210" s="106" t="s">
        <v>35</v>
      </c>
      <c r="D210" s="109"/>
      <c r="E210" s="109"/>
      <c r="F210" s="109"/>
      <c r="G210" s="127">
        <f>SUM(G211:G214)</f>
        <v>8526294</v>
      </c>
    </row>
    <row r="211" spans="1:7" ht="15.75" customHeight="1">
      <c r="A211" s="119"/>
      <c r="B211" s="106" t="s">
        <v>224</v>
      </c>
      <c r="C211" s="106"/>
      <c r="D211" s="109" t="s">
        <v>347</v>
      </c>
      <c r="E211" s="109"/>
      <c r="F211" s="109"/>
      <c r="G211" s="127">
        <v>6613617</v>
      </c>
    </row>
    <row r="212" spans="1:7" ht="15.75" customHeight="1">
      <c r="A212" s="119"/>
      <c r="B212" s="106" t="s">
        <v>367</v>
      </c>
      <c r="C212" s="106"/>
      <c r="D212" s="109" t="s">
        <v>368</v>
      </c>
      <c r="E212" s="109"/>
      <c r="F212" s="109"/>
      <c r="G212" s="127">
        <v>50000</v>
      </c>
    </row>
    <row r="213" spans="1:7" ht="15.75" customHeight="1">
      <c r="A213" s="119"/>
      <c r="B213" s="106" t="s">
        <v>321</v>
      </c>
      <c r="C213" s="109"/>
      <c r="D213" s="109" t="s">
        <v>320</v>
      </c>
      <c r="E213" s="109"/>
      <c r="F213" s="109"/>
      <c r="G213" s="127">
        <v>50000</v>
      </c>
    </row>
    <row r="214" spans="1:7" ht="15.75" customHeight="1">
      <c r="A214" s="108"/>
      <c r="B214" s="106" t="s">
        <v>225</v>
      </c>
      <c r="C214" s="109"/>
      <c r="D214" s="109" t="s">
        <v>226</v>
      </c>
      <c r="E214" s="109"/>
      <c r="F214" s="109"/>
      <c r="G214" s="127">
        <f>1785677+27000</f>
        <v>1812677</v>
      </c>
    </row>
    <row r="215" spans="1:7" ht="15.75" customHeight="1">
      <c r="A215" s="129" t="s">
        <v>36</v>
      </c>
      <c r="B215" s="129"/>
      <c r="C215" s="129" t="s">
        <v>37</v>
      </c>
      <c r="D215" s="99"/>
      <c r="E215" s="99"/>
      <c r="F215" s="109"/>
      <c r="G215" s="128">
        <f>G216+G217</f>
        <v>36243441</v>
      </c>
    </row>
    <row r="216" spans="1:7" ht="15.75" customHeight="1">
      <c r="A216" s="99"/>
      <c r="B216" s="129" t="s">
        <v>234</v>
      </c>
      <c r="C216" s="99"/>
      <c r="D216" s="99" t="s">
        <v>383</v>
      </c>
      <c r="E216" s="99"/>
      <c r="F216" s="109"/>
      <c r="G216" s="126">
        <f>26678300+1860000</f>
        <v>28538300</v>
      </c>
    </row>
    <row r="217" spans="1:7" ht="15.75" customHeight="1">
      <c r="A217" s="99"/>
      <c r="B217" s="129" t="s">
        <v>236</v>
      </c>
      <c r="C217" s="99"/>
      <c r="D217" s="99" t="s">
        <v>237</v>
      </c>
      <c r="E217" s="99"/>
      <c r="F217" s="109"/>
      <c r="G217" s="126">
        <f>7203141+502000</f>
        <v>7705141</v>
      </c>
    </row>
    <row r="218" spans="1:7" ht="15.75" customHeight="1">
      <c r="A218" s="108"/>
      <c r="B218" s="109"/>
      <c r="C218" s="109"/>
      <c r="D218" s="109"/>
      <c r="E218" s="109"/>
      <c r="F218" s="109"/>
      <c r="G218" s="126"/>
    </row>
    <row r="219" spans="1:7" ht="15.75" customHeight="1">
      <c r="A219" s="102" t="s">
        <v>249</v>
      </c>
      <c r="B219" s="122"/>
      <c r="C219" s="122"/>
      <c r="D219" s="122"/>
      <c r="E219" s="122"/>
      <c r="F219" s="130">
        <v>0.25</v>
      </c>
      <c r="G219" s="125">
        <f>G225+G237+G220+G223</f>
        <v>4970718.4</v>
      </c>
    </row>
    <row r="220" spans="1:7" s="160" customFormat="1" ht="15.75" customHeight="1">
      <c r="A220" s="167" t="s">
        <v>23</v>
      </c>
      <c r="B220" s="168"/>
      <c r="C220" s="168" t="s">
        <v>150</v>
      </c>
      <c r="D220" s="168"/>
      <c r="E220" s="168"/>
      <c r="F220" s="165"/>
      <c r="G220" s="166">
        <f>SUM(G221)</f>
        <v>2009280</v>
      </c>
    </row>
    <row r="221" spans="1:7" s="160" customFormat="1" ht="15.75" customHeight="1">
      <c r="A221" s="169"/>
      <c r="B221" s="106" t="s">
        <v>151</v>
      </c>
      <c r="C221" s="106"/>
      <c r="D221" s="106" t="s">
        <v>152</v>
      </c>
      <c r="E221" s="168"/>
      <c r="F221" s="165"/>
      <c r="G221" s="166">
        <f>SUM(G222)</f>
        <v>2009280</v>
      </c>
    </row>
    <row r="222" spans="1:7" s="160" customFormat="1" ht="15.75" customHeight="1">
      <c r="A222" s="99"/>
      <c r="B222" s="109"/>
      <c r="C222" s="109" t="s">
        <v>153</v>
      </c>
      <c r="D222" s="109" t="s">
        <v>154</v>
      </c>
      <c r="E222" s="170"/>
      <c r="F222" s="165"/>
      <c r="G222" s="173">
        <f>1932000*1.04</f>
        <v>2009280</v>
      </c>
    </row>
    <row r="223" spans="1:7" s="160" customFormat="1" ht="15.75" customHeight="1">
      <c r="A223" s="167" t="s">
        <v>25</v>
      </c>
      <c r="B223" s="168"/>
      <c r="C223" s="168" t="s">
        <v>166</v>
      </c>
      <c r="D223" s="171"/>
      <c r="E223" s="170"/>
      <c r="F223" s="165"/>
      <c r="G223" s="166">
        <f>SUM(G224)</f>
        <v>311438.4</v>
      </c>
    </row>
    <row r="224" spans="1:7" s="160" customFormat="1" ht="15.75" customHeight="1">
      <c r="A224" s="169"/>
      <c r="B224" s="170"/>
      <c r="C224" s="170" t="s">
        <v>232</v>
      </c>
      <c r="D224" s="172" t="s">
        <v>167</v>
      </c>
      <c r="E224" s="170"/>
      <c r="F224" s="165"/>
      <c r="G224" s="173">
        <f>G222*0.155</f>
        <v>311438.4</v>
      </c>
    </row>
    <row r="225" spans="1:7" ht="15.75" customHeight="1">
      <c r="A225" s="105" t="s">
        <v>27</v>
      </c>
      <c r="B225" s="106"/>
      <c r="C225" s="106" t="s">
        <v>28</v>
      </c>
      <c r="D225" s="106"/>
      <c r="E225" s="106"/>
      <c r="F225" s="109"/>
      <c r="G225" s="128">
        <f>G228+G231+G235+G226</f>
        <v>1650000</v>
      </c>
    </row>
    <row r="226" spans="1:7" ht="15.75" customHeight="1">
      <c r="A226" s="105"/>
      <c r="B226" s="142"/>
      <c r="C226" s="111"/>
      <c r="D226" s="106" t="s">
        <v>170</v>
      </c>
      <c r="E226" s="115"/>
      <c r="F226" s="109"/>
      <c r="G226" s="128">
        <f>G227</f>
        <v>100000</v>
      </c>
    </row>
    <row r="227" spans="1:7" ht="15.75" customHeight="1">
      <c r="A227" s="105"/>
      <c r="B227" s="106"/>
      <c r="C227" s="109" t="s">
        <v>171</v>
      </c>
      <c r="D227" s="109" t="s">
        <v>172</v>
      </c>
      <c r="E227" s="115"/>
      <c r="F227" s="109"/>
      <c r="G227" s="126">
        <v>100000</v>
      </c>
    </row>
    <row r="228" spans="1:7" ht="15.75" customHeight="1">
      <c r="A228" s="115"/>
      <c r="B228" s="106" t="s">
        <v>177</v>
      </c>
      <c r="C228" s="116"/>
      <c r="D228" s="106" t="s">
        <v>178</v>
      </c>
      <c r="E228" s="116"/>
      <c r="F228" s="109"/>
      <c r="G228" s="128">
        <f>G230+G229</f>
        <v>420000</v>
      </c>
    </row>
    <row r="229" spans="1:7" ht="15.75" customHeight="1">
      <c r="A229" s="115"/>
      <c r="B229" s="106"/>
      <c r="C229" s="109" t="s">
        <v>179</v>
      </c>
      <c r="D229" s="109" t="s">
        <v>180</v>
      </c>
      <c r="E229" s="116"/>
      <c r="F229" s="109"/>
      <c r="G229" s="126">
        <v>250000</v>
      </c>
    </row>
    <row r="230" spans="1:7" ht="15.75" customHeight="1">
      <c r="A230" s="108"/>
      <c r="B230" s="109"/>
      <c r="C230" s="109" t="s">
        <v>181</v>
      </c>
      <c r="D230" s="109" t="s">
        <v>182</v>
      </c>
      <c r="E230" s="109"/>
      <c r="F230" s="109"/>
      <c r="G230" s="126">
        <v>170000</v>
      </c>
    </row>
    <row r="231" spans="1:7" ht="15.75" customHeight="1">
      <c r="A231" s="115"/>
      <c r="B231" s="106" t="s">
        <v>183</v>
      </c>
      <c r="C231" s="116"/>
      <c r="D231" s="106" t="s">
        <v>184</v>
      </c>
      <c r="E231" s="116"/>
      <c r="F231" s="109"/>
      <c r="G231" s="128">
        <f>G232+G233+G234</f>
        <v>800000</v>
      </c>
    </row>
    <row r="232" spans="1:7" ht="15.75" customHeight="1">
      <c r="A232" s="108"/>
      <c r="B232" s="109"/>
      <c r="C232" s="109" t="s">
        <v>185</v>
      </c>
      <c r="D232" s="109" t="s">
        <v>186</v>
      </c>
      <c r="E232" s="109"/>
      <c r="F232" s="109"/>
      <c r="G232" s="126">
        <v>600000</v>
      </c>
    </row>
    <row r="233" spans="1:7" ht="15.75" customHeight="1">
      <c r="A233" s="108"/>
      <c r="B233" s="109"/>
      <c r="C233" s="109" t="s">
        <v>189</v>
      </c>
      <c r="D233" s="109" t="s">
        <v>190</v>
      </c>
      <c r="E233" s="109"/>
      <c r="F233" s="109"/>
      <c r="G233" s="126">
        <v>100000</v>
      </c>
    </row>
    <row r="234" spans="1:7" ht="15.75" customHeight="1">
      <c r="A234" s="108"/>
      <c r="B234" s="109"/>
      <c r="C234" s="109" t="s">
        <v>191</v>
      </c>
      <c r="D234" s="109" t="s">
        <v>192</v>
      </c>
      <c r="E234" s="109"/>
      <c r="F234" s="109"/>
      <c r="G234" s="126">
        <v>100000</v>
      </c>
    </row>
    <row r="235" spans="1:7" ht="15.75" customHeight="1">
      <c r="A235" s="115"/>
      <c r="B235" s="106" t="s">
        <v>197</v>
      </c>
      <c r="C235" s="116"/>
      <c r="D235" s="106" t="s">
        <v>198</v>
      </c>
      <c r="E235" s="116"/>
      <c r="F235" s="109"/>
      <c r="G235" s="128">
        <f>SUM(G236)</f>
        <v>330000</v>
      </c>
    </row>
    <row r="236" spans="1:7" ht="15.75" customHeight="1">
      <c r="A236" s="108"/>
      <c r="B236" s="109"/>
      <c r="C236" s="109" t="s">
        <v>199</v>
      </c>
      <c r="D236" s="109" t="s">
        <v>200</v>
      </c>
      <c r="E236" s="109"/>
      <c r="F236" s="109"/>
      <c r="G236" s="126">
        <v>330000</v>
      </c>
    </row>
    <row r="237" spans="1:7" ht="15.75" customHeight="1">
      <c r="A237" s="105" t="s">
        <v>31</v>
      </c>
      <c r="B237" s="106"/>
      <c r="C237" s="106" t="s">
        <v>32</v>
      </c>
      <c r="D237" s="106"/>
      <c r="E237" s="106"/>
      <c r="F237" s="109"/>
      <c r="G237" s="128">
        <f>SUM(G238)</f>
        <v>1000000</v>
      </c>
    </row>
    <row r="238" spans="1:7" ht="15.75" customHeight="1">
      <c r="A238" s="108"/>
      <c r="B238" s="109"/>
      <c r="C238" s="109" t="s">
        <v>202</v>
      </c>
      <c r="D238" s="109" t="s">
        <v>335</v>
      </c>
      <c r="E238" s="109"/>
      <c r="F238" s="109"/>
      <c r="G238" s="127">
        <v>1000000</v>
      </c>
    </row>
    <row r="239" spans="1:7" ht="15.75" customHeight="1">
      <c r="A239" s="108"/>
      <c r="B239" s="109"/>
      <c r="C239" s="109"/>
      <c r="D239" s="109"/>
      <c r="E239" s="109"/>
      <c r="F239" s="109"/>
      <c r="G239" s="126"/>
    </row>
    <row r="240" spans="1:7" ht="15.75" customHeight="1">
      <c r="A240" s="102" t="s">
        <v>108</v>
      </c>
      <c r="B240" s="122"/>
      <c r="C240" s="122"/>
      <c r="D240" s="122"/>
      <c r="E240" s="122"/>
      <c r="F240" s="122"/>
      <c r="G240" s="125">
        <f>G241+G250</f>
        <v>3160000</v>
      </c>
    </row>
    <row r="241" spans="1:7" ht="15.75" customHeight="1">
      <c r="A241" s="105" t="s">
        <v>27</v>
      </c>
      <c r="B241" s="106"/>
      <c r="C241" s="106" t="s">
        <v>28</v>
      </c>
      <c r="D241" s="106"/>
      <c r="E241" s="106"/>
      <c r="F241" s="109"/>
      <c r="G241" s="128">
        <f>G244+G248+G242</f>
        <v>660000</v>
      </c>
    </row>
    <row r="242" spans="1:7" ht="15.75" customHeight="1">
      <c r="A242" s="115"/>
      <c r="B242" s="106" t="s">
        <v>177</v>
      </c>
      <c r="C242" s="116"/>
      <c r="D242" s="106" t="s">
        <v>178</v>
      </c>
      <c r="E242" s="116"/>
      <c r="F242" s="109"/>
      <c r="G242" s="128">
        <f>G243</f>
        <v>20000</v>
      </c>
    </row>
    <row r="243" spans="1:7" ht="15.75" customHeight="1">
      <c r="A243" s="108"/>
      <c r="B243" s="109"/>
      <c r="C243" s="109" t="s">
        <v>181</v>
      </c>
      <c r="D243" s="109" t="s">
        <v>182</v>
      </c>
      <c r="E243" s="109"/>
      <c r="F243" s="109"/>
      <c r="G243" s="126">
        <v>20000</v>
      </c>
    </row>
    <row r="244" spans="1:7" ht="15.75" customHeight="1">
      <c r="A244" s="115"/>
      <c r="B244" s="106" t="s">
        <v>183</v>
      </c>
      <c r="C244" s="116"/>
      <c r="D244" s="106" t="s">
        <v>184</v>
      </c>
      <c r="E244" s="116"/>
      <c r="F244" s="109"/>
      <c r="G244" s="128">
        <f>G245+G246+G247</f>
        <v>500000</v>
      </c>
    </row>
    <row r="245" spans="1:7" ht="15.75" customHeight="1">
      <c r="A245" s="108"/>
      <c r="B245" s="109"/>
      <c r="C245" s="109" t="s">
        <v>185</v>
      </c>
      <c r="D245" s="109" t="s">
        <v>186</v>
      </c>
      <c r="E245" s="109"/>
      <c r="F245" s="109"/>
      <c r="G245" s="126">
        <v>400000</v>
      </c>
    </row>
    <row r="246" spans="1:7" ht="15.75" customHeight="1">
      <c r="A246" s="108"/>
      <c r="B246" s="109"/>
      <c r="C246" s="109" t="s">
        <v>189</v>
      </c>
      <c r="D246" s="109" t="s">
        <v>190</v>
      </c>
      <c r="E246" s="109"/>
      <c r="F246" s="109"/>
      <c r="G246" s="126">
        <v>50000</v>
      </c>
    </row>
    <row r="247" spans="1:7" ht="15.75" customHeight="1">
      <c r="A247" s="108"/>
      <c r="B247" s="109"/>
      <c r="C247" s="109" t="s">
        <v>191</v>
      </c>
      <c r="D247" s="109" t="s">
        <v>192</v>
      </c>
      <c r="E247" s="109"/>
      <c r="F247" s="109"/>
      <c r="G247" s="126">
        <v>50000</v>
      </c>
    </row>
    <row r="248" spans="1:7" ht="15.75" customHeight="1">
      <c r="A248" s="115"/>
      <c r="B248" s="106" t="s">
        <v>197</v>
      </c>
      <c r="C248" s="116"/>
      <c r="D248" s="106" t="s">
        <v>198</v>
      </c>
      <c r="E248" s="116"/>
      <c r="F248" s="109"/>
      <c r="G248" s="128">
        <f>SUM(G249)</f>
        <v>140000</v>
      </c>
    </row>
    <row r="249" spans="1:7" ht="15.75" customHeight="1">
      <c r="A249" s="108"/>
      <c r="B249" s="109"/>
      <c r="C249" s="109" t="s">
        <v>199</v>
      </c>
      <c r="D249" s="109" t="s">
        <v>200</v>
      </c>
      <c r="E249" s="109"/>
      <c r="F249" s="109"/>
      <c r="G249" s="126">
        <v>140000</v>
      </c>
    </row>
    <row r="250" spans="1:7" ht="15.75" customHeight="1">
      <c r="A250" s="105" t="s">
        <v>31</v>
      </c>
      <c r="B250" s="106"/>
      <c r="C250" s="106" t="s">
        <v>32</v>
      </c>
      <c r="D250" s="106"/>
      <c r="E250" s="106"/>
      <c r="F250" s="109"/>
      <c r="G250" s="128">
        <f>SUM(G251)</f>
        <v>2500000</v>
      </c>
    </row>
    <row r="251" spans="1:7" ht="15.75" customHeight="1">
      <c r="A251" s="108"/>
      <c r="B251" s="109"/>
      <c r="C251" s="109" t="s">
        <v>202</v>
      </c>
      <c r="D251" s="109" t="s">
        <v>203</v>
      </c>
      <c r="E251" s="109"/>
      <c r="F251" s="109"/>
      <c r="G251" s="126">
        <v>2500000</v>
      </c>
    </row>
    <row r="252" spans="1:7" ht="15.75" customHeight="1">
      <c r="A252" s="108"/>
      <c r="B252" s="109"/>
      <c r="C252" s="109"/>
      <c r="D252" s="109"/>
      <c r="E252" s="109"/>
      <c r="F252" s="109"/>
      <c r="G252" s="126"/>
    </row>
    <row r="253" spans="1:7" ht="15.75" customHeight="1">
      <c r="A253" s="102" t="s">
        <v>109</v>
      </c>
      <c r="B253" s="122"/>
      <c r="C253" s="122"/>
      <c r="D253" s="122"/>
      <c r="E253" s="122"/>
      <c r="F253" s="130">
        <v>1</v>
      </c>
      <c r="G253" s="125">
        <f>G254+G263+G266</f>
        <v>9470356.525</v>
      </c>
    </row>
    <row r="254" spans="1:7" ht="15.75" customHeight="1">
      <c r="A254" s="105" t="s">
        <v>23</v>
      </c>
      <c r="B254" s="106"/>
      <c r="C254" s="106" t="s">
        <v>150</v>
      </c>
      <c r="D254" s="106"/>
      <c r="E254" s="106"/>
      <c r="F254" s="109"/>
      <c r="G254" s="128">
        <f>G255+G261</f>
        <v>6920655</v>
      </c>
    </row>
    <row r="255" spans="1:7" ht="15.75" customHeight="1">
      <c r="A255" s="108"/>
      <c r="B255" s="106" t="s">
        <v>151</v>
      </c>
      <c r="C255" s="106"/>
      <c r="D255" s="106" t="s">
        <v>152</v>
      </c>
      <c r="E255" s="106"/>
      <c r="F255" s="109"/>
      <c r="G255" s="128">
        <f>SUM(G256:G260)</f>
        <v>6865515</v>
      </c>
    </row>
    <row r="256" spans="1:7" ht="15.75" customHeight="1">
      <c r="A256" s="99"/>
      <c r="B256" s="109"/>
      <c r="C256" s="109" t="s">
        <v>153</v>
      </c>
      <c r="D256" s="109" t="s">
        <v>154</v>
      </c>
      <c r="E256" s="109"/>
      <c r="F256" s="109"/>
      <c r="G256" s="126">
        <v>6317568</v>
      </c>
    </row>
    <row r="257" spans="1:7" ht="15.75" customHeight="1">
      <c r="A257" s="99"/>
      <c r="B257" s="109"/>
      <c r="C257" s="109" t="s">
        <v>314</v>
      </c>
      <c r="D257" s="109" t="s">
        <v>324</v>
      </c>
      <c r="E257" s="109"/>
      <c r="F257" s="109"/>
      <c r="G257" s="126">
        <f>254034</f>
        <v>254034</v>
      </c>
    </row>
    <row r="258" spans="1:7" ht="15.75" customHeight="1">
      <c r="A258" s="108"/>
      <c r="B258" s="109"/>
      <c r="C258" s="109" t="s">
        <v>155</v>
      </c>
      <c r="D258" s="109" t="s">
        <v>156</v>
      </c>
      <c r="E258" s="109"/>
      <c r="F258" s="109"/>
      <c r="G258" s="126">
        <v>173913</v>
      </c>
    </row>
    <row r="259" spans="1:7" ht="15.75" customHeight="1">
      <c r="A259" s="108"/>
      <c r="B259" s="109"/>
      <c r="C259" s="109" t="s">
        <v>251</v>
      </c>
      <c r="D259" s="109" t="s">
        <v>252</v>
      </c>
      <c r="E259" s="109"/>
      <c r="F259" s="109"/>
      <c r="G259" s="126">
        <v>120000</v>
      </c>
    </row>
    <row r="260" spans="1:7" ht="15.75" customHeight="1">
      <c r="A260" s="108"/>
      <c r="B260" s="109"/>
      <c r="C260" s="108" t="s">
        <v>218</v>
      </c>
      <c r="D260" s="109" t="s">
        <v>152</v>
      </c>
      <c r="E260" s="109"/>
      <c r="F260" s="109"/>
      <c r="G260" s="126"/>
    </row>
    <row r="261" spans="1:7" ht="15.75" customHeight="1">
      <c r="A261" s="105"/>
      <c r="B261" s="106" t="s">
        <v>157</v>
      </c>
      <c r="C261" s="105"/>
      <c r="D261" s="106" t="s">
        <v>253</v>
      </c>
      <c r="E261" s="106"/>
      <c r="F261" s="106"/>
      <c r="G261" s="128">
        <f>G262</f>
        <v>55140</v>
      </c>
    </row>
    <row r="262" spans="1:7" ht="15.75" customHeight="1">
      <c r="A262" s="108"/>
      <c r="B262" s="109"/>
      <c r="C262" s="108" t="s">
        <v>246</v>
      </c>
      <c r="D262" s="109" t="s">
        <v>254</v>
      </c>
      <c r="E262" s="109"/>
      <c r="F262" s="109"/>
      <c r="G262" s="126">
        <v>55140</v>
      </c>
    </row>
    <row r="263" spans="1:7" ht="15.75" customHeight="1">
      <c r="A263" s="105" t="s">
        <v>25</v>
      </c>
      <c r="B263" s="106"/>
      <c r="C263" s="106" t="s">
        <v>166</v>
      </c>
      <c r="D263" s="113"/>
      <c r="E263" s="113"/>
      <c r="F263" s="109"/>
      <c r="G263" s="128">
        <f>SUM(G264:G265)</f>
        <v>1072701.525</v>
      </c>
    </row>
    <row r="264" spans="1:7" ht="15.75" customHeight="1">
      <c r="A264" s="108"/>
      <c r="B264" s="109"/>
      <c r="C264" s="109"/>
      <c r="D264" s="111" t="s">
        <v>167</v>
      </c>
      <c r="E264" s="109"/>
      <c r="F264" s="109"/>
      <c r="G264" s="126">
        <f>(G255+G261)*0.155</f>
        <v>1072701.525</v>
      </c>
    </row>
    <row r="265" spans="1:7" ht="15.75" customHeight="1">
      <c r="A265" s="108"/>
      <c r="B265" s="109"/>
      <c r="C265" s="109"/>
      <c r="D265" s="111" t="s">
        <v>168</v>
      </c>
      <c r="E265" s="109"/>
      <c r="F265" s="109"/>
      <c r="G265" s="126"/>
    </row>
    <row r="266" spans="1:7" ht="15.75" customHeight="1">
      <c r="A266" s="105" t="s">
        <v>27</v>
      </c>
      <c r="B266" s="106"/>
      <c r="C266" s="106" t="s">
        <v>28</v>
      </c>
      <c r="D266" s="106"/>
      <c r="E266" s="106"/>
      <c r="F266" s="109"/>
      <c r="G266" s="128">
        <f>G267+G270+G273+G277+G279</f>
        <v>1477000</v>
      </c>
    </row>
    <row r="267" spans="1:7" ht="15.75" customHeight="1">
      <c r="A267" s="115"/>
      <c r="B267" s="106" t="s">
        <v>169</v>
      </c>
      <c r="C267" s="116"/>
      <c r="D267" s="106" t="s">
        <v>170</v>
      </c>
      <c r="E267" s="117"/>
      <c r="F267" s="109"/>
      <c r="G267" s="128">
        <f>G268+G269</f>
        <v>220000</v>
      </c>
    </row>
    <row r="268" spans="1:7" ht="15.75" customHeight="1">
      <c r="A268" s="108"/>
      <c r="B268" s="109"/>
      <c r="C268" s="109" t="s">
        <v>171</v>
      </c>
      <c r="D268" s="109" t="s">
        <v>172</v>
      </c>
      <c r="E268" s="115"/>
      <c r="F268" s="109"/>
      <c r="G268" s="126">
        <v>100000</v>
      </c>
    </row>
    <row r="269" spans="1:7" ht="15.75" customHeight="1">
      <c r="A269" s="108"/>
      <c r="B269" s="109"/>
      <c r="C269" s="109" t="s">
        <v>174</v>
      </c>
      <c r="D269" s="109" t="s">
        <v>175</v>
      </c>
      <c r="E269" s="109"/>
      <c r="F269" s="109"/>
      <c r="G269" s="126">
        <v>120000</v>
      </c>
    </row>
    <row r="270" spans="1:7" ht="15.75" customHeight="1">
      <c r="A270" s="115"/>
      <c r="B270" s="106" t="s">
        <v>177</v>
      </c>
      <c r="C270" s="116"/>
      <c r="D270" s="106" t="s">
        <v>178</v>
      </c>
      <c r="E270" s="116"/>
      <c r="F270" s="109"/>
      <c r="G270" s="128">
        <f>G271+G272</f>
        <v>320000</v>
      </c>
    </row>
    <row r="271" spans="1:7" ht="15.75" customHeight="1">
      <c r="A271" s="108"/>
      <c r="B271" s="109"/>
      <c r="C271" s="109" t="s">
        <v>179</v>
      </c>
      <c r="D271" s="109" t="s">
        <v>180</v>
      </c>
      <c r="E271" s="109"/>
      <c r="F271" s="109"/>
      <c r="G271" s="126">
        <v>20000</v>
      </c>
    </row>
    <row r="272" spans="1:7" ht="15.75" customHeight="1">
      <c r="A272" s="108"/>
      <c r="B272" s="109"/>
      <c r="C272" s="109" t="s">
        <v>181</v>
      </c>
      <c r="D272" s="109" t="s">
        <v>182</v>
      </c>
      <c r="E272" s="109"/>
      <c r="F272" s="109"/>
      <c r="G272" s="126">
        <v>300000</v>
      </c>
    </row>
    <row r="273" spans="1:7" ht="15.75" customHeight="1">
      <c r="A273" s="115"/>
      <c r="B273" s="106" t="s">
        <v>183</v>
      </c>
      <c r="C273" s="116"/>
      <c r="D273" s="106" t="s">
        <v>184</v>
      </c>
      <c r="E273" s="116"/>
      <c r="F273" s="109"/>
      <c r="G273" s="128">
        <f>G274+G275+G276</f>
        <v>630000</v>
      </c>
    </row>
    <row r="274" spans="1:7" ht="15.75" customHeight="1">
      <c r="A274" s="108"/>
      <c r="B274" s="109"/>
      <c r="C274" s="109" t="s">
        <v>185</v>
      </c>
      <c r="D274" s="109" t="s">
        <v>186</v>
      </c>
      <c r="E274" s="109"/>
      <c r="F274" s="109"/>
      <c r="G274" s="126">
        <v>300000</v>
      </c>
    </row>
    <row r="275" spans="1:7" ht="15.75" customHeight="1">
      <c r="A275" s="108"/>
      <c r="B275" s="109"/>
      <c r="C275" s="109" t="s">
        <v>189</v>
      </c>
      <c r="D275" s="109" t="s">
        <v>190</v>
      </c>
      <c r="E275" s="109"/>
      <c r="F275" s="109"/>
      <c r="G275" s="126">
        <v>50000</v>
      </c>
    </row>
    <row r="276" spans="1:7" ht="15.75" customHeight="1">
      <c r="A276" s="108"/>
      <c r="B276" s="109"/>
      <c r="C276" s="109" t="s">
        <v>191</v>
      </c>
      <c r="D276" s="109" t="s">
        <v>192</v>
      </c>
      <c r="E276" s="109"/>
      <c r="F276" s="109"/>
      <c r="G276" s="126">
        <v>280000</v>
      </c>
    </row>
    <row r="277" spans="1:7" ht="15.75" customHeight="1">
      <c r="A277" s="115"/>
      <c r="B277" s="106" t="s">
        <v>193</v>
      </c>
      <c r="C277" s="116"/>
      <c r="D277" s="106" t="s">
        <v>194</v>
      </c>
      <c r="E277" s="116"/>
      <c r="F277" s="109"/>
      <c r="G277" s="128">
        <f>G278</f>
        <v>10000</v>
      </c>
    </row>
    <row r="278" spans="1:7" ht="15.75" customHeight="1">
      <c r="A278" s="108"/>
      <c r="B278" s="109"/>
      <c r="C278" s="109" t="s">
        <v>195</v>
      </c>
      <c r="D278" s="109" t="s">
        <v>196</v>
      </c>
      <c r="E278" s="109"/>
      <c r="F278" s="109"/>
      <c r="G278" s="126">
        <v>10000</v>
      </c>
    </row>
    <row r="279" spans="1:7" ht="15.75" customHeight="1">
      <c r="A279" s="115"/>
      <c r="B279" s="106" t="s">
        <v>197</v>
      </c>
      <c r="C279" s="116"/>
      <c r="D279" s="106" t="s">
        <v>198</v>
      </c>
      <c r="E279" s="116"/>
      <c r="F279" s="109"/>
      <c r="G279" s="128">
        <f>G280</f>
        <v>297000</v>
      </c>
    </row>
    <row r="280" spans="1:7" ht="15.75" customHeight="1">
      <c r="A280" s="108"/>
      <c r="B280" s="109"/>
      <c r="C280" s="109" t="s">
        <v>199</v>
      </c>
      <c r="D280" s="109" t="s">
        <v>200</v>
      </c>
      <c r="E280" s="109"/>
      <c r="F280" s="109"/>
      <c r="G280" s="126">
        <v>297000</v>
      </c>
    </row>
    <row r="281" spans="1:7" ht="15.75" customHeight="1">
      <c r="A281" s="108"/>
      <c r="B281" s="109"/>
      <c r="C281" s="109"/>
      <c r="D281" s="109"/>
      <c r="E281" s="109"/>
      <c r="F281" s="109"/>
      <c r="G281" s="126"/>
    </row>
    <row r="282" spans="1:7" ht="15.75" customHeight="1">
      <c r="A282" s="102" t="s">
        <v>255</v>
      </c>
      <c r="B282" s="122"/>
      <c r="C282" s="122"/>
      <c r="D282" s="122"/>
      <c r="E282" s="122"/>
      <c r="F282" s="122"/>
      <c r="G282" s="125">
        <f>SUM(G283)</f>
        <v>640000</v>
      </c>
    </row>
    <row r="283" spans="1:7" ht="15.75" customHeight="1">
      <c r="A283" s="105" t="s">
        <v>27</v>
      </c>
      <c r="B283" s="106"/>
      <c r="C283" s="106" t="s">
        <v>28</v>
      </c>
      <c r="D283" s="106"/>
      <c r="E283" s="106"/>
      <c r="F283" s="106"/>
      <c r="G283" s="128">
        <f>G284+G286+G290</f>
        <v>640000</v>
      </c>
    </row>
    <row r="284" spans="1:7" ht="15.75" customHeight="1">
      <c r="A284" s="115"/>
      <c r="B284" s="106" t="s">
        <v>169</v>
      </c>
      <c r="C284" s="116"/>
      <c r="D284" s="106" t="s">
        <v>170</v>
      </c>
      <c r="E284" s="117"/>
      <c r="F284" s="106"/>
      <c r="G284" s="126">
        <f>G285</f>
        <v>40000</v>
      </c>
    </row>
    <row r="285" spans="1:7" ht="15.75" customHeight="1">
      <c r="A285" s="108"/>
      <c r="B285" s="109"/>
      <c r="C285" s="109" t="s">
        <v>174</v>
      </c>
      <c r="D285" s="109" t="s">
        <v>175</v>
      </c>
      <c r="E285" s="109"/>
      <c r="F285" s="109"/>
      <c r="G285" s="126">
        <v>40000</v>
      </c>
    </row>
    <row r="286" spans="1:7" ht="15.75" customHeight="1">
      <c r="A286" s="115"/>
      <c r="B286" s="106" t="s">
        <v>183</v>
      </c>
      <c r="C286" s="116"/>
      <c r="D286" s="106" t="s">
        <v>184</v>
      </c>
      <c r="E286" s="116"/>
      <c r="F286" s="109"/>
      <c r="G286" s="128">
        <f>G287+G288+G289</f>
        <v>500000</v>
      </c>
    </row>
    <row r="287" spans="1:7" ht="15.75" customHeight="1">
      <c r="A287" s="108"/>
      <c r="B287" s="109"/>
      <c r="C287" s="109" t="s">
        <v>185</v>
      </c>
      <c r="D287" s="109" t="s">
        <v>186</v>
      </c>
      <c r="E287" s="109"/>
      <c r="F287" s="109"/>
      <c r="G287" s="126">
        <v>250000</v>
      </c>
    </row>
    <row r="288" spans="1:7" ht="15.75" customHeight="1">
      <c r="A288" s="108"/>
      <c r="B288" s="109"/>
      <c r="C288" s="109" t="s">
        <v>189</v>
      </c>
      <c r="D288" s="109" t="s">
        <v>190</v>
      </c>
      <c r="E288" s="109"/>
      <c r="F288" s="109"/>
      <c r="G288" s="126">
        <v>150000</v>
      </c>
    </row>
    <row r="289" spans="1:7" ht="15.75" customHeight="1">
      <c r="A289" s="108"/>
      <c r="B289" s="109"/>
      <c r="C289" s="109" t="s">
        <v>191</v>
      </c>
      <c r="D289" s="109" t="s">
        <v>192</v>
      </c>
      <c r="E289" s="109"/>
      <c r="F289" s="109"/>
      <c r="G289" s="126">
        <v>100000</v>
      </c>
    </row>
    <row r="290" spans="1:7" ht="15.75" customHeight="1">
      <c r="A290" s="115"/>
      <c r="B290" s="106" t="s">
        <v>197</v>
      </c>
      <c r="C290" s="116"/>
      <c r="D290" s="106" t="s">
        <v>198</v>
      </c>
      <c r="E290" s="116"/>
      <c r="F290" s="109"/>
      <c r="G290" s="128">
        <f>G291</f>
        <v>100000</v>
      </c>
    </row>
    <row r="291" spans="1:7" ht="15.75" customHeight="1">
      <c r="A291" s="108"/>
      <c r="B291" s="109"/>
      <c r="C291" s="109" t="s">
        <v>199</v>
      </c>
      <c r="D291" s="109" t="s">
        <v>200</v>
      </c>
      <c r="E291" s="109"/>
      <c r="F291" s="109"/>
      <c r="G291" s="126">
        <v>100000</v>
      </c>
    </row>
    <row r="292" spans="1:7" ht="15.75" customHeight="1">
      <c r="A292" s="108"/>
      <c r="B292" s="109"/>
      <c r="C292" s="109"/>
      <c r="D292" s="109"/>
      <c r="E292" s="109"/>
      <c r="F292" s="109"/>
      <c r="G292" s="126"/>
    </row>
    <row r="293" spans="1:7" ht="15.75" customHeight="1">
      <c r="A293" s="102" t="s">
        <v>256</v>
      </c>
      <c r="B293" s="122"/>
      <c r="C293" s="122"/>
      <c r="D293" s="122"/>
      <c r="E293" s="122"/>
      <c r="F293" s="122"/>
      <c r="G293" s="125">
        <f>SUM(G294)</f>
        <v>1000000</v>
      </c>
    </row>
    <row r="294" spans="1:7" ht="15.75" customHeight="1">
      <c r="A294" s="105" t="s">
        <v>31</v>
      </c>
      <c r="B294" s="106"/>
      <c r="C294" s="106" t="s">
        <v>32</v>
      </c>
      <c r="D294" s="106"/>
      <c r="E294" s="106"/>
      <c r="F294" s="109"/>
      <c r="G294" s="126">
        <f>G295</f>
        <v>1000000</v>
      </c>
    </row>
    <row r="295" spans="1:7" ht="15.75" customHeight="1">
      <c r="A295" s="108"/>
      <c r="B295" s="109"/>
      <c r="C295" s="109" t="s">
        <v>202</v>
      </c>
      <c r="D295" s="109" t="s">
        <v>203</v>
      </c>
      <c r="E295" s="109"/>
      <c r="F295" s="109"/>
      <c r="G295" s="127">
        <v>1000000</v>
      </c>
    </row>
    <row r="296" spans="1:7" ht="15.75" customHeight="1">
      <c r="A296" s="108"/>
      <c r="B296" s="109"/>
      <c r="C296" s="109"/>
      <c r="D296" s="109"/>
      <c r="E296" s="109"/>
      <c r="F296" s="109"/>
      <c r="G296" s="127"/>
    </row>
    <row r="297" spans="1:7" ht="15.75" customHeight="1">
      <c r="A297" s="102" t="s">
        <v>110</v>
      </c>
      <c r="B297" s="122"/>
      <c r="C297" s="122"/>
      <c r="D297" s="122"/>
      <c r="E297" s="122"/>
      <c r="F297" s="130">
        <v>5.25</v>
      </c>
      <c r="G297" s="125">
        <f>G298+G308+G311+G330+G326</f>
        <v>185033515</v>
      </c>
    </row>
    <row r="298" spans="1:7" ht="15.75" customHeight="1">
      <c r="A298" s="105" t="s">
        <v>23</v>
      </c>
      <c r="B298" s="106"/>
      <c r="C298" s="106" t="s">
        <v>150</v>
      </c>
      <c r="D298" s="106"/>
      <c r="E298" s="106"/>
      <c r="F298" s="109"/>
      <c r="G298" s="128">
        <f>G299+G306</f>
        <v>16466852</v>
      </c>
    </row>
    <row r="299" spans="1:7" ht="15.75" customHeight="1">
      <c r="A299" s="108"/>
      <c r="B299" s="106" t="s">
        <v>151</v>
      </c>
      <c r="C299" s="106"/>
      <c r="D299" s="106" t="s">
        <v>152</v>
      </c>
      <c r="E299" s="106"/>
      <c r="F299" s="109"/>
      <c r="G299" s="128">
        <f>SUM(G300:G305)</f>
        <v>12506852</v>
      </c>
    </row>
    <row r="300" spans="1:7" ht="15.75" customHeight="1">
      <c r="A300" s="99"/>
      <c r="B300" s="109"/>
      <c r="C300" s="109" t="s">
        <v>153</v>
      </c>
      <c r="D300" s="109" t="s">
        <v>154</v>
      </c>
      <c r="E300" s="109"/>
      <c r="F300" s="109"/>
      <c r="G300" s="126">
        <f>10108800*1.04</f>
        <v>10513152</v>
      </c>
    </row>
    <row r="301" spans="1:7" ht="15.75" customHeight="1">
      <c r="A301" s="99"/>
      <c r="B301" s="109"/>
      <c r="C301" s="109" t="s">
        <v>314</v>
      </c>
      <c r="D301" s="109" t="s">
        <v>317</v>
      </c>
      <c r="E301" s="109"/>
      <c r="F301" s="109"/>
      <c r="G301" s="126">
        <f>421200*1.04</f>
        <v>438048</v>
      </c>
    </row>
    <row r="302" spans="1:7" ht="15.75" customHeight="1">
      <c r="A302" s="99"/>
      <c r="B302" s="109"/>
      <c r="C302" s="109" t="s">
        <v>230</v>
      </c>
      <c r="D302" s="109" t="s">
        <v>231</v>
      </c>
      <c r="E302" s="109"/>
      <c r="F302" s="109"/>
      <c r="G302" s="126">
        <v>300000</v>
      </c>
    </row>
    <row r="303" spans="1:7" ht="15.75" customHeight="1">
      <c r="A303" s="108"/>
      <c r="B303" s="109"/>
      <c r="C303" s="109" t="s">
        <v>155</v>
      </c>
      <c r="D303" s="109" t="s">
        <v>156</v>
      </c>
      <c r="E303" s="109"/>
      <c r="F303" s="109"/>
      <c r="G303" s="126">
        <v>695652</v>
      </c>
    </row>
    <row r="304" spans="1:7" ht="15.75" customHeight="1">
      <c r="A304" s="108"/>
      <c r="B304" s="109"/>
      <c r="C304" s="109" t="s">
        <v>244</v>
      </c>
      <c r="D304" s="109" t="s">
        <v>245</v>
      </c>
      <c r="E304" s="109"/>
      <c r="F304" s="109"/>
      <c r="G304" s="126">
        <v>60000</v>
      </c>
    </row>
    <row r="305" spans="1:7" ht="15.75" customHeight="1">
      <c r="A305" s="108"/>
      <c r="B305" s="109"/>
      <c r="C305" s="108" t="s">
        <v>218</v>
      </c>
      <c r="D305" s="109" t="s">
        <v>336</v>
      </c>
      <c r="E305" s="109"/>
      <c r="F305" s="109"/>
      <c r="G305" s="126">
        <v>500000</v>
      </c>
    </row>
    <row r="306" spans="1:7" ht="15.75" customHeight="1">
      <c r="A306" s="108"/>
      <c r="B306" s="106" t="s">
        <v>157</v>
      </c>
      <c r="C306" s="105"/>
      <c r="D306" s="106" t="s">
        <v>253</v>
      </c>
      <c r="E306" s="106"/>
      <c r="F306" s="109"/>
      <c r="G306" s="128">
        <f>SUM(G307:G307)</f>
        <v>3960000</v>
      </c>
    </row>
    <row r="307" spans="1:7" ht="15.75" customHeight="1">
      <c r="A307" s="108"/>
      <c r="B307" s="109"/>
      <c r="C307" s="108" t="s">
        <v>246</v>
      </c>
      <c r="D307" s="109" t="s">
        <v>254</v>
      </c>
      <c r="E307" s="109"/>
      <c r="F307" s="109"/>
      <c r="G307" s="126">
        <v>3960000</v>
      </c>
    </row>
    <row r="308" spans="1:7" ht="15.75" customHeight="1">
      <c r="A308" s="105" t="s">
        <v>25</v>
      </c>
      <c r="B308" s="106"/>
      <c r="C308" s="106" t="s">
        <v>166</v>
      </c>
      <c r="D308" s="113"/>
      <c r="E308" s="113"/>
      <c r="F308" s="109"/>
      <c r="G308" s="128">
        <f>SUM(G309:G310)</f>
        <v>2435236</v>
      </c>
    </row>
    <row r="309" spans="1:7" ht="15.75" customHeight="1">
      <c r="A309" s="108"/>
      <c r="B309" s="109"/>
      <c r="C309" s="109"/>
      <c r="D309" s="111" t="s">
        <v>167</v>
      </c>
      <c r="E309" s="109"/>
      <c r="F309" s="109"/>
      <c r="G309" s="126">
        <f>(G300+G301+G302+G305+G307)*0.155</f>
        <v>2435236</v>
      </c>
    </row>
    <row r="310" spans="1:7" ht="15.75" customHeight="1">
      <c r="A310" s="108"/>
      <c r="B310" s="109"/>
      <c r="C310" s="109"/>
      <c r="D310" s="111" t="s">
        <v>168</v>
      </c>
      <c r="E310" s="109"/>
      <c r="F310" s="109"/>
      <c r="G310" s="126"/>
    </row>
    <row r="311" spans="1:7" ht="15.75" customHeight="1">
      <c r="A311" s="105" t="s">
        <v>27</v>
      </c>
      <c r="B311" s="106"/>
      <c r="C311" s="106" t="s">
        <v>28</v>
      </c>
      <c r="D311" s="106"/>
      <c r="E311" s="106"/>
      <c r="F311" s="109"/>
      <c r="G311" s="128">
        <f>G312+G315+G318+G323</f>
        <v>57918536</v>
      </c>
    </row>
    <row r="312" spans="1:7" ht="15.75" customHeight="1">
      <c r="A312" s="115"/>
      <c r="B312" s="106" t="s">
        <v>169</v>
      </c>
      <c r="C312" s="111"/>
      <c r="D312" s="106" t="s">
        <v>170</v>
      </c>
      <c r="E312" s="115"/>
      <c r="F312" s="109"/>
      <c r="G312" s="128">
        <f>G313+G314</f>
        <v>9150000</v>
      </c>
    </row>
    <row r="313" spans="1:7" ht="15.75" customHeight="1">
      <c r="A313" s="108"/>
      <c r="B313" s="109"/>
      <c r="C313" s="109" t="s">
        <v>171</v>
      </c>
      <c r="D313" s="109" t="s">
        <v>172</v>
      </c>
      <c r="E313" s="115"/>
      <c r="F313" s="109"/>
      <c r="G313" s="126">
        <v>150000</v>
      </c>
    </row>
    <row r="314" spans="1:7" ht="15.75" customHeight="1">
      <c r="A314" s="108"/>
      <c r="B314" s="109"/>
      <c r="C314" s="109" t="s">
        <v>174</v>
      </c>
      <c r="D314" s="109" t="s">
        <v>175</v>
      </c>
      <c r="E314" s="109"/>
      <c r="F314" s="109"/>
      <c r="G314" s="126">
        <f>5000000+2300000+1700000</f>
        <v>9000000</v>
      </c>
    </row>
    <row r="315" spans="1:7" ht="15.75" customHeight="1">
      <c r="A315" s="115"/>
      <c r="B315" s="106" t="s">
        <v>177</v>
      </c>
      <c r="C315" s="111"/>
      <c r="D315" s="106" t="s">
        <v>178</v>
      </c>
      <c r="E315" s="111"/>
      <c r="F315" s="109"/>
      <c r="G315" s="128">
        <f>G316+G317</f>
        <v>200000</v>
      </c>
    </row>
    <row r="316" spans="1:7" ht="15.75" customHeight="1">
      <c r="A316" s="108"/>
      <c r="B316" s="109"/>
      <c r="C316" s="109" t="s">
        <v>179</v>
      </c>
      <c r="D316" s="109" t="s">
        <v>180</v>
      </c>
      <c r="E316" s="109"/>
      <c r="F316" s="109"/>
      <c r="G316" s="126">
        <v>100000</v>
      </c>
    </row>
    <row r="317" spans="1:7" ht="15.75" customHeight="1">
      <c r="A317" s="108"/>
      <c r="B317" s="109"/>
      <c r="C317" s="109" t="s">
        <v>181</v>
      </c>
      <c r="D317" s="109" t="s">
        <v>182</v>
      </c>
      <c r="E317" s="109"/>
      <c r="F317" s="109"/>
      <c r="G317" s="126">
        <v>100000</v>
      </c>
    </row>
    <row r="318" spans="1:7" ht="15.75" customHeight="1">
      <c r="A318" s="115"/>
      <c r="B318" s="106" t="s">
        <v>183</v>
      </c>
      <c r="C318" s="111"/>
      <c r="D318" s="106" t="s">
        <v>184</v>
      </c>
      <c r="E318" s="111"/>
      <c r="F318" s="109"/>
      <c r="G318" s="128">
        <f>G319+G321+G322+G320</f>
        <v>19293000</v>
      </c>
    </row>
    <row r="319" spans="1:7" ht="15.75" customHeight="1">
      <c r="A319" s="108"/>
      <c r="B319" s="109"/>
      <c r="C319" s="109" t="s">
        <v>185</v>
      </c>
      <c r="D319" s="109" t="s">
        <v>186</v>
      </c>
      <c r="E319" s="109"/>
      <c r="F319" s="109"/>
      <c r="G319" s="126">
        <v>4000000</v>
      </c>
    </row>
    <row r="320" spans="1:7" ht="15.75" customHeight="1">
      <c r="A320" s="108"/>
      <c r="B320" s="109"/>
      <c r="C320" s="109" t="s">
        <v>187</v>
      </c>
      <c r="D320" s="109" t="s">
        <v>188</v>
      </c>
      <c r="E320" s="109"/>
      <c r="F320" s="109"/>
      <c r="G320" s="126">
        <v>100000</v>
      </c>
    </row>
    <row r="321" spans="1:7" ht="15.75" customHeight="1">
      <c r="A321" s="108"/>
      <c r="B321" s="109"/>
      <c r="C321" s="109" t="s">
        <v>189</v>
      </c>
      <c r="D321" s="109" t="s">
        <v>190</v>
      </c>
      <c r="E321" s="109"/>
      <c r="F321" s="109"/>
      <c r="G321" s="126">
        <v>5000000</v>
      </c>
    </row>
    <row r="322" spans="1:7" ht="15.75" customHeight="1">
      <c r="A322" s="108"/>
      <c r="B322" s="109"/>
      <c r="C322" s="109" t="s">
        <v>191</v>
      </c>
      <c r="D322" s="109" t="s">
        <v>192</v>
      </c>
      <c r="E322" s="109"/>
      <c r="F322" s="109"/>
      <c r="G322" s="126">
        <f>10000000+193000</f>
        <v>10193000</v>
      </c>
    </row>
    <row r="323" spans="1:7" ht="15.75" customHeight="1">
      <c r="A323" s="115"/>
      <c r="B323" s="106" t="s">
        <v>197</v>
      </c>
      <c r="C323" s="116"/>
      <c r="D323" s="106" t="s">
        <v>198</v>
      </c>
      <c r="E323" s="116"/>
      <c r="F323" s="109"/>
      <c r="G323" s="128">
        <f>SUM(G324:G325)</f>
        <v>29275536</v>
      </c>
    </row>
    <row r="324" spans="1:7" ht="15.75" customHeight="1">
      <c r="A324" s="108"/>
      <c r="B324" s="109"/>
      <c r="C324" s="109" t="s">
        <v>199</v>
      </c>
      <c r="D324" s="109" t="s">
        <v>200</v>
      </c>
      <c r="E324" s="109"/>
      <c r="F324" s="109"/>
      <c r="G324" s="126">
        <f>5700000+621000+459000</f>
        <v>6780000</v>
      </c>
    </row>
    <row r="325" spans="1:7" ht="15.75" customHeight="1">
      <c r="A325" s="108"/>
      <c r="B325" s="109"/>
      <c r="C325" s="109" t="s">
        <v>222</v>
      </c>
      <c r="D325" s="109" t="s">
        <v>223</v>
      </c>
      <c r="E325" s="109"/>
      <c r="F325" s="109"/>
      <c r="G325" s="126">
        <v>22495536</v>
      </c>
    </row>
    <row r="326" spans="1:7" ht="15.75" customHeight="1">
      <c r="A326" s="119" t="s">
        <v>34</v>
      </c>
      <c r="B326" s="109"/>
      <c r="C326" s="106" t="s">
        <v>35</v>
      </c>
      <c r="D326" s="109"/>
      <c r="E326" s="109"/>
      <c r="F326" s="109"/>
      <c r="G326" s="128">
        <f>SUM(G327:G329)</f>
        <v>65538922</v>
      </c>
    </row>
    <row r="327" spans="1:7" ht="15.75" customHeight="1">
      <c r="A327" s="108"/>
      <c r="B327" s="106" t="s">
        <v>367</v>
      </c>
      <c r="C327" s="109"/>
      <c r="D327" s="109" t="s">
        <v>368</v>
      </c>
      <c r="E327" s="109"/>
      <c r="F327" s="109"/>
      <c r="G327" s="126">
        <f>2500000+2500000</f>
        <v>5000000</v>
      </c>
    </row>
    <row r="328" spans="1:7" ht="15.75" customHeight="1">
      <c r="A328" s="108"/>
      <c r="B328" s="106" t="s">
        <v>321</v>
      </c>
      <c r="C328" s="109"/>
      <c r="D328" s="109" t="s">
        <v>320</v>
      </c>
      <c r="E328" s="109"/>
      <c r="F328" s="109"/>
      <c r="G328" s="126">
        <f>22500000+13600000+10505450</f>
        <v>46605450</v>
      </c>
    </row>
    <row r="329" spans="1:7" ht="15.75" customHeight="1">
      <c r="A329" s="108"/>
      <c r="B329" s="106" t="s">
        <v>225</v>
      </c>
      <c r="C329" s="109"/>
      <c r="D329" s="109" t="s">
        <v>226</v>
      </c>
      <c r="E329" s="109"/>
      <c r="F329" s="109"/>
      <c r="G329" s="126">
        <f>6075000+3672000+675000+675000+2836472</f>
        <v>13933472</v>
      </c>
    </row>
    <row r="330" spans="1:7" ht="15.75" customHeight="1">
      <c r="A330" s="129" t="s">
        <v>36</v>
      </c>
      <c r="B330" s="129"/>
      <c r="C330" s="129" t="s">
        <v>37</v>
      </c>
      <c r="D330" s="99"/>
      <c r="E330" s="99"/>
      <c r="F330" s="109"/>
      <c r="G330" s="128">
        <f>SUM(G331:G332)</f>
        <v>42673969</v>
      </c>
    </row>
    <row r="331" spans="1:7" ht="15.75" customHeight="1">
      <c r="A331" s="99"/>
      <c r="B331" s="129" t="s">
        <v>234</v>
      </c>
      <c r="C331" s="99"/>
      <c r="D331" s="99" t="s">
        <v>350</v>
      </c>
      <c r="E331" s="99"/>
      <c r="F331" s="109"/>
      <c r="G331" s="126">
        <f>2100000+12200000+19301550</f>
        <v>33601550</v>
      </c>
    </row>
    <row r="332" spans="1:7" ht="15.75" customHeight="1">
      <c r="A332" s="99"/>
      <c r="B332" s="129" t="s">
        <v>236</v>
      </c>
      <c r="C332" s="99"/>
      <c r="D332" s="99" t="s">
        <v>237</v>
      </c>
      <c r="E332" s="99"/>
      <c r="F332" s="109"/>
      <c r="G332" s="126">
        <f>567000+3294000+5211419</f>
        <v>9072419</v>
      </c>
    </row>
    <row r="333" spans="1:7" ht="15.75" customHeight="1">
      <c r="A333" s="108"/>
      <c r="B333" s="109"/>
      <c r="C333" s="109"/>
      <c r="D333" s="109"/>
      <c r="E333" s="109"/>
      <c r="F333" s="109"/>
      <c r="G333" s="126"/>
    </row>
    <row r="334" spans="1:7" ht="15.75" customHeight="1">
      <c r="A334" s="102" t="s">
        <v>257</v>
      </c>
      <c r="B334" s="122"/>
      <c r="C334" s="122"/>
      <c r="D334" s="122"/>
      <c r="E334" s="122"/>
      <c r="F334" s="130"/>
      <c r="G334" s="125">
        <f>SUM(G335)</f>
        <v>530000</v>
      </c>
    </row>
    <row r="335" spans="1:7" ht="15.75" customHeight="1">
      <c r="A335" s="105" t="s">
        <v>27</v>
      </c>
      <c r="B335" s="106"/>
      <c r="C335" s="106" t="s">
        <v>28</v>
      </c>
      <c r="D335" s="106"/>
      <c r="E335" s="106"/>
      <c r="F335" s="109"/>
      <c r="G335" s="128">
        <f>G336+G339</f>
        <v>530000</v>
      </c>
    </row>
    <row r="336" spans="1:7" ht="15.75" customHeight="1">
      <c r="A336" s="115"/>
      <c r="B336" s="106" t="s">
        <v>169</v>
      </c>
      <c r="C336" s="116"/>
      <c r="D336" s="106" t="s">
        <v>170</v>
      </c>
      <c r="E336" s="117"/>
      <c r="F336" s="109"/>
      <c r="G336" s="128">
        <f>G337</f>
        <v>500000</v>
      </c>
    </row>
    <row r="337" spans="1:7" ht="15.75" customHeight="1">
      <c r="A337" s="108"/>
      <c r="B337" s="109"/>
      <c r="C337" s="109" t="s">
        <v>171</v>
      </c>
      <c r="D337" s="109" t="s">
        <v>172</v>
      </c>
      <c r="E337" s="115"/>
      <c r="F337" s="109"/>
      <c r="G337" s="126">
        <f>G338</f>
        <v>500000</v>
      </c>
    </row>
    <row r="338" spans="1:7" ht="15.75" customHeight="1">
      <c r="A338" s="108"/>
      <c r="B338" s="109"/>
      <c r="C338" s="109"/>
      <c r="D338" s="109"/>
      <c r="E338" s="115" t="s">
        <v>173</v>
      </c>
      <c r="F338" s="109"/>
      <c r="G338" s="126">
        <v>500000</v>
      </c>
    </row>
    <row r="339" spans="1:7" ht="15.75" customHeight="1">
      <c r="A339" s="115"/>
      <c r="B339" s="106" t="s">
        <v>197</v>
      </c>
      <c r="C339" s="116"/>
      <c r="D339" s="106" t="s">
        <v>198</v>
      </c>
      <c r="E339" s="116"/>
      <c r="F339" s="109"/>
      <c r="G339" s="128">
        <f>G340</f>
        <v>30000</v>
      </c>
    </row>
    <row r="340" spans="1:7" ht="15.75" customHeight="1">
      <c r="A340" s="108"/>
      <c r="B340" s="109"/>
      <c r="C340" s="109" t="s">
        <v>199</v>
      </c>
      <c r="D340" s="109" t="s">
        <v>200</v>
      </c>
      <c r="E340" s="109"/>
      <c r="F340" s="109"/>
      <c r="G340" s="126">
        <v>30000</v>
      </c>
    </row>
    <row r="341" spans="1:7" ht="15.75" customHeight="1">
      <c r="A341" s="108"/>
      <c r="B341" s="109"/>
      <c r="C341" s="109"/>
      <c r="D341" s="109"/>
      <c r="E341" s="109"/>
      <c r="F341" s="109"/>
      <c r="G341" s="126"/>
    </row>
    <row r="342" spans="1:7" ht="15.75" customHeight="1">
      <c r="A342" s="102" t="s">
        <v>112</v>
      </c>
      <c r="B342" s="122"/>
      <c r="C342" s="122"/>
      <c r="D342" s="122"/>
      <c r="E342" s="122"/>
      <c r="F342" s="130">
        <v>1</v>
      </c>
      <c r="G342" s="125">
        <f>G343+G349+G352</f>
        <v>5683028.515000001</v>
      </c>
    </row>
    <row r="343" spans="1:7" ht="15.75" customHeight="1">
      <c r="A343" s="105" t="s">
        <v>23</v>
      </c>
      <c r="B343" s="106"/>
      <c r="C343" s="106" t="s">
        <v>150</v>
      </c>
      <c r="D343" s="106"/>
      <c r="E343" s="106"/>
      <c r="F343" s="109"/>
      <c r="G343" s="128">
        <f>SUM(G344)</f>
        <v>3211713</v>
      </c>
    </row>
    <row r="344" spans="1:7" ht="15.75" customHeight="1">
      <c r="A344" s="108"/>
      <c r="B344" s="106" t="s">
        <v>151</v>
      </c>
      <c r="C344" s="106"/>
      <c r="D344" s="106" t="s">
        <v>152</v>
      </c>
      <c r="E344" s="106"/>
      <c r="F344" s="109"/>
      <c r="G344" s="128">
        <f>SUM(G345:G348)</f>
        <v>3211713</v>
      </c>
    </row>
    <row r="345" spans="1:7" ht="15.75" customHeight="1">
      <c r="A345" s="99"/>
      <c r="B345" s="109"/>
      <c r="C345" s="109" t="s">
        <v>153</v>
      </c>
      <c r="D345" s="109" t="s">
        <v>154</v>
      </c>
      <c r="E345" s="109"/>
      <c r="F345" s="109"/>
      <c r="G345" s="126">
        <f>2527200*1.04</f>
        <v>2628288</v>
      </c>
    </row>
    <row r="346" spans="1:7" ht="15.75" customHeight="1">
      <c r="A346" s="99"/>
      <c r="B346" s="109"/>
      <c r="C346" s="109" t="s">
        <v>314</v>
      </c>
      <c r="D346" s="109" t="s">
        <v>324</v>
      </c>
      <c r="E346" s="109"/>
      <c r="F346" s="109"/>
      <c r="G346" s="126">
        <f>105300*1.04</f>
        <v>109512</v>
      </c>
    </row>
    <row r="347" spans="1:7" ht="15.75" customHeight="1">
      <c r="A347" s="108"/>
      <c r="B347" s="109"/>
      <c r="C347" s="109" t="s">
        <v>155</v>
      </c>
      <c r="D347" s="109" t="s">
        <v>156</v>
      </c>
      <c r="E347" s="109"/>
      <c r="F347" s="109"/>
      <c r="G347" s="126">
        <v>173913</v>
      </c>
    </row>
    <row r="348" spans="1:7" ht="15.75" customHeight="1">
      <c r="A348" s="108"/>
      <c r="B348" s="109"/>
      <c r="C348" s="109" t="s">
        <v>244</v>
      </c>
      <c r="D348" s="109" t="s">
        <v>245</v>
      </c>
      <c r="E348" s="109"/>
      <c r="F348" s="109"/>
      <c r="G348" s="126">
        <v>300000</v>
      </c>
    </row>
    <row r="349" spans="1:7" ht="15.75" customHeight="1">
      <c r="A349" s="105" t="s">
        <v>25</v>
      </c>
      <c r="B349" s="106"/>
      <c r="C349" s="106" t="s">
        <v>166</v>
      </c>
      <c r="D349" s="113"/>
      <c r="E349" s="113"/>
      <c r="F349" s="109"/>
      <c r="G349" s="128">
        <f>SUM(G350:G351)</f>
        <v>451315.515</v>
      </c>
    </row>
    <row r="350" spans="1:7" ht="15.75" customHeight="1">
      <c r="A350" s="108"/>
      <c r="B350" s="109"/>
      <c r="C350" s="109"/>
      <c r="D350" s="111" t="s">
        <v>167</v>
      </c>
      <c r="E350" s="109"/>
      <c r="F350" s="109"/>
      <c r="G350" s="126">
        <f>(G345+G346+G347)*0.155</f>
        <v>451315.515</v>
      </c>
    </row>
    <row r="351" spans="1:7" ht="15.75" customHeight="1">
      <c r="A351" s="108"/>
      <c r="B351" s="109"/>
      <c r="C351" s="109"/>
      <c r="D351" s="111" t="s">
        <v>168</v>
      </c>
      <c r="E351" s="109"/>
      <c r="F351" s="109"/>
      <c r="G351" s="126"/>
    </row>
    <row r="352" spans="1:7" ht="15.75" customHeight="1">
      <c r="A352" s="105" t="s">
        <v>27</v>
      </c>
      <c r="B352" s="106"/>
      <c r="C352" s="106" t="s">
        <v>28</v>
      </c>
      <c r="D352" s="106"/>
      <c r="E352" s="106"/>
      <c r="F352" s="109"/>
      <c r="G352" s="128">
        <f>G353+G356+G359+G363</f>
        <v>2020000</v>
      </c>
    </row>
    <row r="353" spans="1:7" ht="15.75" customHeight="1">
      <c r="A353" s="115"/>
      <c r="B353" s="106" t="s">
        <v>169</v>
      </c>
      <c r="C353" s="116"/>
      <c r="D353" s="106" t="s">
        <v>170</v>
      </c>
      <c r="E353" s="117"/>
      <c r="F353" s="109"/>
      <c r="G353" s="128">
        <f>G354+G355</f>
        <v>300000</v>
      </c>
    </row>
    <row r="354" spans="1:7" ht="15.75" customHeight="1">
      <c r="A354" s="108"/>
      <c r="B354" s="109"/>
      <c r="C354" s="109" t="s">
        <v>171</v>
      </c>
      <c r="D354" s="109" t="s">
        <v>172</v>
      </c>
      <c r="E354" s="115"/>
      <c r="F354" s="109"/>
      <c r="G354" s="126">
        <v>100000</v>
      </c>
    </row>
    <row r="355" spans="1:7" ht="15.75" customHeight="1">
      <c r="A355" s="108"/>
      <c r="B355" s="109"/>
      <c r="C355" s="109" t="s">
        <v>174</v>
      </c>
      <c r="D355" s="109" t="s">
        <v>175</v>
      </c>
      <c r="E355" s="109"/>
      <c r="F355" s="109"/>
      <c r="G355" s="126">
        <v>200000</v>
      </c>
    </row>
    <row r="356" spans="1:7" ht="15.75" customHeight="1">
      <c r="A356" s="115"/>
      <c r="B356" s="106" t="s">
        <v>177</v>
      </c>
      <c r="C356" s="116"/>
      <c r="D356" s="106" t="s">
        <v>178</v>
      </c>
      <c r="E356" s="116"/>
      <c r="F356" s="109"/>
      <c r="G356" s="128">
        <f>G357+G358</f>
        <v>100000</v>
      </c>
    </row>
    <row r="357" spans="1:7" ht="15.75" customHeight="1">
      <c r="A357" s="108"/>
      <c r="B357" s="109"/>
      <c r="C357" s="109" t="s">
        <v>179</v>
      </c>
      <c r="D357" s="109" t="s">
        <v>180</v>
      </c>
      <c r="E357" s="109"/>
      <c r="F357" s="109"/>
      <c r="G357" s="126">
        <v>50000</v>
      </c>
    </row>
    <row r="358" spans="1:7" ht="15.75" customHeight="1">
      <c r="A358" s="108"/>
      <c r="B358" s="109"/>
      <c r="C358" s="109" t="s">
        <v>181</v>
      </c>
      <c r="D358" s="109" t="s">
        <v>182</v>
      </c>
      <c r="E358" s="109"/>
      <c r="F358" s="109"/>
      <c r="G358" s="126">
        <v>50000</v>
      </c>
    </row>
    <row r="359" spans="1:7" ht="15.75" customHeight="1">
      <c r="A359" s="115"/>
      <c r="B359" s="106" t="s">
        <v>183</v>
      </c>
      <c r="C359" s="116"/>
      <c r="D359" s="106" t="s">
        <v>184</v>
      </c>
      <c r="E359" s="116"/>
      <c r="F359" s="109"/>
      <c r="G359" s="128">
        <f>G360+G361+G362</f>
        <v>1270000</v>
      </c>
    </row>
    <row r="360" spans="1:7" ht="15.75" customHeight="1">
      <c r="A360" s="108"/>
      <c r="B360" s="109"/>
      <c r="C360" s="109" t="s">
        <v>185</v>
      </c>
      <c r="D360" s="109" t="s">
        <v>186</v>
      </c>
      <c r="E360" s="109"/>
      <c r="F360" s="109"/>
      <c r="G360" s="126">
        <v>900000</v>
      </c>
    </row>
    <row r="361" spans="1:7" ht="15.75" customHeight="1">
      <c r="A361" s="108"/>
      <c r="B361" s="109"/>
      <c r="C361" s="109" t="s">
        <v>189</v>
      </c>
      <c r="D361" s="109" t="s">
        <v>190</v>
      </c>
      <c r="E361" s="109"/>
      <c r="F361" s="109"/>
      <c r="G361" s="126">
        <v>120000</v>
      </c>
    </row>
    <row r="362" spans="1:7" ht="15.75" customHeight="1">
      <c r="A362" s="108"/>
      <c r="B362" s="109"/>
      <c r="C362" s="109" t="s">
        <v>191</v>
      </c>
      <c r="D362" s="109" t="s">
        <v>192</v>
      </c>
      <c r="E362" s="109"/>
      <c r="F362" s="109"/>
      <c r="G362" s="126">
        <v>250000</v>
      </c>
    </row>
    <row r="363" spans="1:7" ht="15.75" customHeight="1">
      <c r="A363" s="115"/>
      <c r="B363" s="106" t="s">
        <v>197</v>
      </c>
      <c r="C363" s="116"/>
      <c r="D363" s="106" t="s">
        <v>198</v>
      </c>
      <c r="E363" s="116"/>
      <c r="F363" s="109"/>
      <c r="G363" s="128">
        <f>SUM(G364)</f>
        <v>350000</v>
      </c>
    </row>
    <row r="364" spans="1:7" ht="15.75" customHeight="1">
      <c r="A364" s="108"/>
      <c r="B364" s="109"/>
      <c r="C364" s="109" t="s">
        <v>199</v>
      </c>
      <c r="D364" s="109" t="s">
        <v>200</v>
      </c>
      <c r="E364" s="109"/>
      <c r="F364" s="109"/>
      <c r="G364" s="127">
        <v>350000</v>
      </c>
    </row>
    <row r="365" spans="1:7" ht="15.75" customHeight="1">
      <c r="A365" s="108"/>
      <c r="B365" s="109"/>
      <c r="C365" s="109"/>
      <c r="D365" s="109"/>
      <c r="E365" s="109"/>
      <c r="F365" s="109"/>
      <c r="G365" s="127"/>
    </row>
    <row r="366" spans="1:7" ht="15.75" customHeight="1">
      <c r="A366" s="102" t="s">
        <v>315</v>
      </c>
      <c r="B366" s="122"/>
      <c r="C366" s="122"/>
      <c r="D366" s="122"/>
      <c r="E366" s="122"/>
      <c r="F366" s="130">
        <v>0.25</v>
      </c>
      <c r="G366" s="125">
        <f>G367+G370+G372</f>
        <v>983729</v>
      </c>
    </row>
    <row r="367" spans="1:7" ht="15.75" customHeight="1">
      <c r="A367" s="105" t="s">
        <v>23</v>
      </c>
      <c r="B367" s="106"/>
      <c r="C367" s="106" t="s">
        <v>150</v>
      </c>
      <c r="D367" s="106"/>
      <c r="E367" s="106"/>
      <c r="F367" s="109"/>
      <c r="G367" s="128">
        <f>SUM(G368)</f>
        <v>631800</v>
      </c>
    </row>
    <row r="368" spans="1:7" ht="15.75" customHeight="1">
      <c r="A368" s="108"/>
      <c r="B368" s="106" t="s">
        <v>151</v>
      </c>
      <c r="C368" s="106"/>
      <c r="D368" s="106" t="s">
        <v>152</v>
      </c>
      <c r="E368" s="106"/>
      <c r="F368" s="109"/>
      <c r="G368" s="128">
        <f>SUM(G369:G369)</f>
        <v>631800</v>
      </c>
    </row>
    <row r="369" spans="1:7" ht="15.75" customHeight="1">
      <c r="A369" s="99"/>
      <c r="B369" s="109"/>
      <c r="C369" s="109" t="s">
        <v>153</v>
      </c>
      <c r="D369" s="109" t="s">
        <v>154</v>
      </c>
      <c r="E369" s="109"/>
      <c r="F369" s="109"/>
      <c r="G369" s="126">
        <v>631800</v>
      </c>
    </row>
    <row r="370" spans="1:7" ht="15.75" customHeight="1">
      <c r="A370" s="105" t="s">
        <v>25</v>
      </c>
      <c r="B370" s="106"/>
      <c r="C370" s="106" t="s">
        <v>166</v>
      </c>
      <c r="D370" s="113"/>
      <c r="E370" s="113"/>
      <c r="F370" s="109"/>
      <c r="G370" s="128">
        <f>SUM(G371:G371)</f>
        <v>97929</v>
      </c>
    </row>
    <row r="371" spans="1:7" ht="15.75" customHeight="1">
      <c r="A371" s="108"/>
      <c r="B371" s="109"/>
      <c r="C371" s="109"/>
      <c r="D371" s="111" t="s">
        <v>167</v>
      </c>
      <c r="E371" s="109"/>
      <c r="F371" s="109"/>
      <c r="G371" s="126">
        <f>G368*0.155</f>
        <v>97929</v>
      </c>
    </row>
    <row r="372" spans="1:7" ht="15.75" customHeight="1">
      <c r="A372" s="105" t="s">
        <v>27</v>
      </c>
      <c r="B372" s="106"/>
      <c r="C372" s="106" t="s">
        <v>28</v>
      </c>
      <c r="D372" s="106"/>
      <c r="E372" s="106"/>
      <c r="F372" s="109"/>
      <c r="G372" s="128">
        <f>G373+G376</f>
        <v>254000</v>
      </c>
    </row>
    <row r="373" spans="1:7" ht="15.75" customHeight="1">
      <c r="A373" s="115"/>
      <c r="B373" s="106" t="s">
        <v>169</v>
      </c>
      <c r="C373" s="116"/>
      <c r="D373" s="106" t="s">
        <v>170</v>
      </c>
      <c r="E373" s="117"/>
      <c r="F373" s="109"/>
      <c r="G373" s="128">
        <f>G374+G375</f>
        <v>200000</v>
      </c>
    </row>
    <row r="374" spans="1:7" ht="15.75" customHeight="1">
      <c r="A374" s="108"/>
      <c r="B374" s="109"/>
      <c r="C374" s="109" t="s">
        <v>171</v>
      </c>
      <c r="D374" s="109" t="s">
        <v>172</v>
      </c>
      <c r="E374" s="115"/>
      <c r="F374" s="109"/>
      <c r="G374" s="126">
        <v>100000</v>
      </c>
    </row>
    <row r="375" spans="1:7" ht="15.75" customHeight="1">
      <c r="A375" s="108"/>
      <c r="B375" s="109"/>
      <c r="C375" s="109" t="s">
        <v>174</v>
      </c>
      <c r="D375" s="109" t="s">
        <v>175</v>
      </c>
      <c r="E375" s="109"/>
      <c r="F375" s="109"/>
      <c r="G375" s="126">
        <v>100000</v>
      </c>
    </row>
    <row r="376" spans="1:7" ht="15.75" customHeight="1">
      <c r="A376" s="108"/>
      <c r="B376" s="106" t="s">
        <v>197</v>
      </c>
      <c r="C376" s="116"/>
      <c r="D376" s="106" t="s">
        <v>198</v>
      </c>
      <c r="E376" s="116"/>
      <c r="F376" s="109"/>
      <c r="G376" s="128">
        <f>SUM(G377)</f>
        <v>54000</v>
      </c>
    </row>
    <row r="377" spans="1:7" ht="15.75" customHeight="1">
      <c r="A377" s="108"/>
      <c r="B377" s="109"/>
      <c r="C377" s="109" t="s">
        <v>199</v>
      </c>
      <c r="D377" s="109" t="s">
        <v>200</v>
      </c>
      <c r="E377" s="109"/>
      <c r="F377" s="109"/>
      <c r="G377" s="127">
        <v>54000</v>
      </c>
    </row>
    <row r="378" spans="1:7" ht="15.75" customHeight="1">
      <c r="A378" s="108"/>
      <c r="B378" s="109"/>
      <c r="C378" s="109"/>
      <c r="D378" s="109"/>
      <c r="E378" s="109"/>
      <c r="F378" s="109"/>
      <c r="G378" s="127"/>
    </row>
    <row r="379" spans="1:7" ht="15.75" customHeight="1">
      <c r="A379" s="102" t="s">
        <v>316</v>
      </c>
      <c r="B379" s="122"/>
      <c r="C379" s="122"/>
      <c r="D379" s="122"/>
      <c r="E379" s="122"/>
      <c r="F379" s="130"/>
      <c r="G379" s="125">
        <f>G380</f>
        <v>339000</v>
      </c>
    </row>
    <row r="380" spans="1:7" ht="15.75" customHeight="1">
      <c r="A380" s="105" t="s">
        <v>27</v>
      </c>
      <c r="B380" s="106"/>
      <c r="C380" s="106" t="s">
        <v>28</v>
      </c>
      <c r="D380" s="106"/>
      <c r="E380" s="106"/>
      <c r="F380" s="109"/>
      <c r="G380" s="128">
        <f>G381+G386+G383</f>
        <v>339000</v>
      </c>
    </row>
    <row r="381" spans="1:7" ht="15.75" customHeight="1">
      <c r="A381" s="115"/>
      <c r="B381" s="106" t="s">
        <v>169</v>
      </c>
      <c r="C381" s="116"/>
      <c r="D381" s="106" t="s">
        <v>170</v>
      </c>
      <c r="E381" s="117"/>
      <c r="F381" s="109"/>
      <c r="G381" s="128">
        <f>G382+G388</f>
        <v>50000</v>
      </c>
    </row>
    <row r="382" spans="1:7" ht="15.75" customHeight="1">
      <c r="A382" s="108"/>
      <c r="B382" s="109"/>
      <c r="C382" s="109" t="s">
        <v>171</v>
      </c>
      <c r="D382" s="109" t="s">
        <v>172</v>
      </c>
      <c r="E382" s="115"/>
      <c r="F382" s="109"/>
      <c r="G382" s="126">
        <v>50000</v>
      </c>
    </row>
    <row r="383" spans="1:7" ht="15.75" customHeight="1">
      <c r="A383" s="108"/>
      <c r="B383" s="143" t="s">
        <v>183</v>
      </c>
      <c r="C383" s="143" t="s">
        <v>184</v>
      </c>
      <c r="D383" s="109"/>
      <c r="E383" s="115"/>
      <c r="F383" s="109"/>
      <c r="G383" s="128">
        <f>SUM(G384:G385)</f>
        <v>217000</v>
      </c>
    </row>
    <row r="384" spans="1:7" ht="15.75" customHeight="1">
      <c r="A384" s="108"/>
      <c r="B384" s="109"/>
      <c r="C384" s="109" t="s">
        <v>185</v>
      </c>
      <c r="D384" s="109" t="s">
        <v>186</v>
      </c>
      <c r="E384" s="115"/>
      <c r="F384" s="109"/>
      <c r="G384" s="126">
        <v>140000</v>
      </c>
    </row>
    <row r="385" spans="1:7" ht="15.75" customHeight="1">
      <c r="A385" s="108"/>
      <c r="B385" s="109"/>
      <c r="C385" s="109" t="s">
        <v>191</v>
      </c>
      <c r="D385" s="109" t="s">
        <v>192</v>
      </c>
      <c r="E385" s="115"/>
      <c r="F385" s="109"/>
      <c r="G385" s="126">
        <v>77000</v>
      </c>
    </row>
    <row r="386" spans="1:7" ht="15.75" customHeight="1">
      <c r="A386" s="108"/>
      <c r="B386" s="106" t="s">
        <v>197</v>
      </c>
      <c r="C386" s="116"/>
      <c r="D386" s="106" t="s">
        <v>198</v>
      </c>
      <c r="E386" s="116"/>
      <c r="F386" s="109"/>
      <c r="G386" s="128">
        <f>SUM(G387)</f>
        <v>72000</v>
      </c>
    </row>
    <row r="387" spans="1:7" ht="15.75" customHeight="1">
      <c r="A387" s="108"/>
      <c r="B387" s="109"/>
      <c r="C387" s="109" t="s">
        <v>199</v>
      </c>
      <c r="D387" s="109" t="s">
        <v>200</v>
      </c>
      <c r="E387" s="109"/>
      <c r="F387" s="109"/>
      <c r="G387" s="126">
        <v>72000</v>
      </c>
    </row>
    <row r="388" spans="1:7" ht="15.75" customHeight="1">
      <c r="A388" s="108"/>
      <c r="B388" s="109"/>
      <c r="C388" s="109"/>
      <c r="D388" s="109"/>
      <c r="E388" s="109"/>
      <c r="F388" s="109"/>
      <c r="G388" s="126"/>
    </row>
    <row r="389" spans="1:7" ht="15.75" customHeight="1">
      <c r="A389" s="102" t="s">
        <v>145</v>
      </c>
      <c r="B389" s="122"/>
      <c r="C389" s="122"/>
      <c r="D389" s="122"/>
      <c r="E389" s="122"/>
      <c r="F389" s="130">
        <v>2.5</v>
      </c>
      <c r="G389" s="125">
        <f>G390+G396+G399+G415</f>
        <v>23165994.355</v>
      </c>
    </row>
    <row r="390" spans="1:7" ht="15.75" customHeight="1">
      <c r="A390" s="105" t="s">
        <v>23</v>
      </c>
      <c r="B390" s="106"/>
      <c r="C390" s="106" t="s">
        <v>150</v>
      </c>
      <c r="D390" s="106"/>
      <c r="E390" s="106"/>
      <c r="F390" s="109"/>
      <c r="G390" s="128">
        <f>G391</f>
        <v>8429441</v>
      </c>
    </row>
    <row r="391" spans="1:7" ht="15.75" customHeight="1">
      <c r="A391" s="108"/>
      <c r="B391" s="106" t="s">
        <v>151</v>
      </c>
      <c r="C391" s="106"/>
      <c r="D391" s="106" t="s">
        <v>152</v>
      </c>
      <c r="E391" s="106"/>
      <c r="F391" s="109"/>
      <c r="G391" s="128">
        <f>SUM(G392:G395)</f>
        <v>8429441</v>
      </c>
    </row>
    <row r="392" spans="1:7" ht="15.75" customHeight="1">
      <c r="A392" s="99"/>
      <c r="B392" s="109"/>
      <c r="C392" s="109" t="s">
        <v>153</v>
      </c>
      <c r="D392" s="109" t="s">
        <v>154</v>
      </c>
      <c r="E392" s="109"/>
      <c r="F392" s="109"/>
      <c r="G392" s="126">
        <f>7278144*1.04</f>
        <v>7569269.760000001</v>
      </c>
    </row>
    <row r="393" spans="1:7" ht="15.75" customHeight="1">
      <c r="A393" s="99"/>
      <c r="B393" s="109"/>
      <c r="C393" s="109" t="s">
        <v>314</v>
      </c>
      <c r="D393" s="109" t="s">
        <v>324</v>
      </c>
      <c r="E393" s="109"/>
      <c r="F393" s="109"/>
      <c r="G393" s="126">
        <f>303256*1.04</f>
        <v>315386.24</v>
      </c>
    </row>
    <row r="394" spans="1:7" ht="15.75" customHeight="1">
      <c r="A394" s="108"/>
      <c r="B394" s="109"/>
      <c r="C394" s="109" t="s">
        <v>155</v>
      </c>
      <c r="D394" s="109" t="s">
        <v>156</v>
      </c>
      <c r="E394" s="109"/>
      <c r="F394" s="109"/>
      <c r="G394" s="126">
        <v>434785</v>
      </c>
    </row>
    <row r="395" spans="1:7" ht="15.75" customHeight="1">
      <c r="A395" s="108"/>
      <c r="B395" s="109"/>
      <c r="C395" s="109" t="s">
        <v>218</v>
      </c>
      <c r="D395" s="109" t="s">
        <v>152</v>
      </c>
      <c r="E395" s="109"/>
      <c r="F395" s="109"/>
      <c r="G395" s="126">
        <v>110000</v>
      </c>
    </row>
    <row r="396" spans="1:7" ht="15.75" customHeight="1">
      <c r="A396" s="105" t="s">
        <v>25</v>
      </c>
      <c r="B396" s="106"/>
      <c r="C396" s="106" t="s">
        <v>166</v>
      </c>
      <c r="D396" s="113"/>
      <c r="E396" s="113"/>
      <c r="F396" s="109"/>
      <c r="G396" s="128">
        <f>SUM(G397:G398)</f>
        <v>1306563.355</v>
      </c>
    </row>
    <row r="397" spans="1:7" ht="15.75" customHeight="1">
      <c r="A397" s="108"/>
      <c r="B397" s="109"/>
      <c r="C397" s="109"/>
      <c r="D397" s="111" t="s">
        <v>167</v>
      </c>
      <c r="E397" s="109"/>
      <c r="F397" s="109"/>
      <c r="G397" s="126">
        <f>G391*0.155</f>
        <v>1306563.355</v>
      </c>
    </row>
    <row r="398" spans="1:7" ht="15.75" customHeight="1">
      <c r="A398" s="108"/>
      <c r="B398" s="109"/>
      <c r="C398" s="109"/>
      <c r="D398" s="111" t="s">
        <v>168</v>
      </c>
      <c r="E398" s="109"/>
      <c r="F398" s="109"/>
      <c r="G398" s="126"/>
    </row>
    <row r="399" spans="1:7" ht="15.75" customHeight="1">
      <c r="A399" s="105" t="s">
        <v>27</v>
      </c>
      <c r="B399" s="106"/>
      <c r="C399" s="106" t="s">
        <v>28</v>
      </c>
      <c r="D399" s="106"/>
      <c r="E399" s="106"/>
      <c r="F399" s="109"/>
      <c r="G399" s="128">
        <f>G400+G403+G406+G410+G413</f>
        <v>13364600</v>
      </c>
    </row>
    <row r="400" spans="1:7" ht="15.75" customHeight="1">
      <c r="A400" s="115"/>
      <c r="B400" s="106" t="s">
        <v>169</v>
      </c>
      <c r="C400" s="116"/>
      <c r="D400" s="106" t="s">
        <v>170</v>
      </c>
      <c r="E400" s="117"/>
      <c r="F400" s="109"/>
      <c r="G400" s="128">
        <f>G401+G402</f>
        <v>2374600</v>
      </c>
    </row>
    <row r="401" spans="1:7" ht="15.75" customHeight="1">
      <c r="A401" s="108"/>
      <c r="B401" s="109"/>
      <c r="C401" s="109" t="s">
        <v>171</v>
      </c>
      <c r="D401" s="109" t="s">
        <v>172</v>
      </c>
      <c r="E401" s="115"/>
      <c r="F401" s="109"/>
      <c r="G401" s="126">
        <v>600000</v>
      </c>
    </row>
    <row r="402" spans="1:7" ht="15.75" customHeight="1">
      <c r="A402" s="108"/>
      <c r="B402" s="109"/>
      <c r="C402" s="109" t="s">
        <v>174</v>
      </c>
      <c r="D402" s="109" t="s">
        <v>175</v>
      </c>
      <c r="E402" s="109"/>
      <c r="F402" s="109"/>
      <c r="G402" s="126">
        <f>1800000-25400</f>
        <v>1774600</v>
      </c>
    </row>
    <row r="403" spans="1:7" ht="15.75" customHeight="1">
      <c r="A403" s="115"/>
      <c r="B403" s="106" t="s">
        <v>177</v>
      </c>
      <c r="C403" s="116"/>
      <c r="D403" s="106" t="s">
        <v>178</v>
      </c>
      <c r="E403" s="116"/>
      <c r="F403" s="109"/>
      <c r="G403" s="128">
        <f>G404+G405</f>
        <v>640000</v>
      </c>
    </row>
    <row r="404" spans="1:7" ht="15.75" customHeight="1">
      <c r="A404" s="108"/>
      <c r="B404" s="109"/>
      <c r="C404" s="109" t="s">
        <v>179</v>
      </c>
      <c r="D404" s="109" t="s">
        <v>180</v>
      </c>
      <c r="E404" s="109"/>
      <c r="F404" s="109"/>
      <c r="G404" s="126">
        <v>100000</v>
      </c>
    </row>
    <row r="405" spans="1:7" ht="15.75" customHeight="1">
      <c r="A405" s="108"/>
      <c r="B405" s="109"/>
      <c r="C405" s="109" t="s">
        <v>181</v>
      </c>
      <c r="D405" s="109" t="s">
        <v>182</v>
      </c>
      <c r="E405" s="109"/>
      <c r="F405" s="109"/>
      <c r="G405" s="126">
        <v>540000</v>
      </c>
    </row>
    <row r="406" spans="1:7" ht="15.75" customHeight="1">
      <c r="A406" s="115"/>
      <c r="B406" s="106" t="s">
        <v>183</v>
      </c>
      <c r="C406" s="116"/>
      <c r="D406" s="106" t="s">
        <v>184</v>
      </c>
      <c r="E406" s="116"/>
      <c r="F406" s="109"/>
      <c r="G406" s="128">
        <f>G407+G408+G409</f>
        <v>8200000</v>
      </c>
    </row>
    <row r="407" spans="1:7" ht="15.75" customHeight="1">
      <c r="A407" s="108"/>
      <c r="B407" s="109"/>
      <c r="C407" s="109" t="s">
        <v>185</v>
      </c>
      <c r="D407" s="109" t="s">
        <v>186</v>
      </c>
      <c r="E407" s="109"/>
      <c r="F407" s="109"/>
      <c r="G407" s="126">
        <v>1000000</v>
      </c>
    </row>
    <row r="408" spans="1:7" ht="15.75" customHeight="1">
      <c r="A408" s="108"/>
      <c r="B408" s="109"/>
      <c r="C408" s="109" t="s">
        <v>189</v>
      </c>
      <c r="D408" s="109" t="s">
        <v>190</v>
      </c>
      <c r="E408" s="109"/>
      <c r="F408" s="109"/>
      <c r="G408" s="126">
        <v>200000</v>
      </c>
    </row>
    <row r="409" spans="1:7" ht="15.75" customHeight="1">
      <c r="A409" s="108"/>
      <c r="B409" s="109"/>
      <c r="C409" s="109" t="s">
        <v>191</v>
      </c>
      <c r="D409" s="109" t="s">
        <v>192</v>
      </c>
      <c r="E409" s="109"/>
      <c r="F409" s="109"/>
      <c r="G409" s="126">
        <v>7000000</v>
      </c>
    </row>
    <row r="410" spans="1:7" ht="15.75" customHeight="1">
      <c r="A410" s="115"/>
      <c r="B410" s="106" t="s">
        <v>193</v>
      </c>
      <c r="C410" s="116"/>
      <c r="D410" s="106" t="s">
        <v>194</v>
      </c>
      <c r="E410" s="116"/>
      <c r="F410" s="109"/>
      <c r="G410" s="128">
        <f>G411+G412</f>
        <v>150000</v>
      </c>
    </row>
    <row r="411" spans="1:7" ht="15.75" customHeight="1">
      <c r="A411" s="108"/>
      <c r="B411" s="109"/>
      <c r="C411" s="109" t="s">
        <v>195</v>
      </c>
      <c r="D411" s="109" t="s">
        <v>196</v>
      </c>
      <c r="E411" s="109"/>
      <c r="F411" s="109"/>
      <c r="G411" s="126">
        <v>50000</v>
      </c>
    </row>
    <row r="412" spans="1:7" ht="15.75" customHeight="1">
      <c r="A412" s="108"/>
      <c r="B412" s="109"/>
      <c r="C412" s="109" t="s">
        <v>240</v>
      </c>
      <c r="D412" s="109" t="s">
        <v>241</v>
      </c>
      <c r="E412" s="109"/>
      <c r="F412" s="109"/>
      <c r="G412" s="126">
        <v>100000</v>
      </c>
    </row>
    <row r="413" spans="1:7" ht="15.75" customHeight="1">
      <c r="A413" s="115"/>
      <c r="B413" s="106" t="s">
        <v>197</v>
      </c>
      <c r="C413" s="116"/>
      <c r="D413" s="106" t="s">
        <v>198</v>
      </c>
      <c r="E413" s="116"/>
      <c r="F413" s="109"/>
      <c r="G413" s="128">
        <f>SUM(G414)</f>
        <v>2000000</v>
      </c>
    </row>
    <row r="414" spans="1:7" ht="15.75" customHeight="1">
      <c r="A414" s="108"/>
      <c r="B414" s="109"/>
      <c r="C414" s="109" t="s">
        <v>199</v>
      </c>
      <c r="D414" s="109" t="s">
        <v>200</v>
      </c>
      <c r="E414" s="109"/>
      <c r="F414" s="109"/>
      <c r="G414" s="126">
        <v>2000000</v>
      </c>
    </row>
    <row r="415" spans="1:7" ht="15.75" customHeight="1">
      <c r="A415" s="119" t="s">
        <v>34</v>
      </c>
      <c r="B415" s="109"/>
      <c r="C415" s="106" t="s">
        <v>35</v>
      </c>
      <c r="D415" s="109"/>
      <c r="E415" s="109"/>
      <c r="F415" s="109"/>
      <c r="G415" s="128">
        <f>SUM(G416:G418)</f>
        <v>65390</v>
      </c>
    </row>
    <row r="416" spans="1:7" ht="15.75" customHeight="1">
      <c r="A416" s="119"/>
      <c r="B416" s="106" t="s">
        <v>367</v>
      </c>
      <c r="C416" s="106"/>
      <c r="D416" s="109" t="s">
        <v>368</v>
      </c>
      <c r="E416" s="109"/>
      <c r="F416" s="109"/>
      <c r="G416" s="126">
        <v>20000</v>
      </c>
    </row>
    <row r="417" spans="1:7" ht="15.75" customHeight="1">
      <c r="A417" s="108"/>
      <c r="B417" s="106" t="s">
        <v>321</v>
      </c>
      <c r="C417" s="109"/>
      <c r="D417" s="109" t="s">
        <v>320</v>
      </c>
      <c r="E417" s="109"/>
      <c r="F417" s="109"/>
      <c r="G417" s="126">
        <v>31488</v>
      </c>
    </row>
    <row r="418" spans="1:7" ht="15.75" customHeight="1">
      <c r="A418" s="108"/>
      <c r="B418" s="106" t="s">
        <v>225</v>
      </c>
      <c r="C418" s="109"/>
      <c r="D418" s="109" t="s">
        <v>226</v>
      </c>
      <c r="E418" s="109"/>
      <c r="F418" s="109"/>
      <c r="G418" s="126">
        <f>8502+5400</f>
        <v>13902</v>
      </c>
    </row>
    <row r="419" spans="1:7" ht="15.75" customHeight="1">
      <c r="A419" s="108"/>
      <c r="B419" s="109"/>
      <c r="C419" s="109"/>
      <c r="D419" s="109"/>
      <c r="E419" s="109"/>
      <c r="F419" s="109"/>
      <c r="G419" s="126"/>
    </row>
    <row r="420" spans="1:7" ht="15.75" customHeight="1">
      <c r="A420" s="102" t="s">
        <v>258</v>
      </c>
      <c r="B420" s="122"/>
      <c r="C420" s="122"/>
      <c r="D420" s="122"/>
      <c r="E420" s="122"/>
      <c r="F420" s="122"/>
      <c r="G420" s="125">
        <f>G421</f>
        <v>1000000</v>
      </c>
    </row>
    <row r="421" spans="1:7" ht="15.75" customHeight="1">
      <c r="A421" s="105" t="s">
        <v>27</v>
      </c>
      <c r="B421" s="143"/>
      <c r="C421" s="143" t="s">
        <v>28</v>
      </c>
      <c r="D421" s="143"/>
      <c r="E421" s="143"/>
      <c r="F421" s="143"/>
      <c r="G421" s="144">
        <f>G425+G422+G428</f>
        <v>1000000</v>
      </c>
    </row>
    <row r="422" spans="1:7" ht="15.75" customHeight="1">
      <c r="A422" s="115"/>
      <c r="B422" s="106" t="s">
        <v>169</v>
      </c>
      <c r="C422" s="116"/>
      <c r="D422" s="106" t="s">
        <v>170</v>
      </c>
      <c r="E422" s="117"/>
      <c r="F422" s="143"/>
      <c r="G422" s="144">
        <f>G423</f>
        <v>400000</v>
      </c>
    </row>
    <row r="423" spans="1:7" ht="15.75" customHeight="1">
      <c r="A423" s="108"/>
      <c r="B423" s="109"/>
      <c r="C423" s="109" t="s">
        <v>174</v>
      </c>
      <c r="D423" s="109" t="s">
        <v>175</v>
      </c>
      <c r="E423" s="109"/>
      <c r="F423" s="143"/>
      <c r="G423" s="127">
        <f>G424</f>
        <v>400000</v>
      </c>
    </row>
    <row r="424" spans="1:7" ht="15.75" customHeight="1">
      <c r="A424" s="105"/>
      <c r="B424" s="106"/>
      <c r="C424" s="106"/>
      <c r="D424" s="106"/>
      <c r="E424" s="111" t="s">
        <v>176</v>
      </c>
      <c r="F424" s="143"/>
      <c r="G424" s="127">
        <v>400000</v>
      </c>
    </row>
    <row r="425" spans="1:7" ht="15.75" customHeight="1">
      <c r="A425" s="145"/>
      <c r="B425" s="143" t="s">
        <v>183</v>
      </c>
      <c r="C425" s="143" t="s">
        <v>184</v>
      </c>
      <c r="D425" s="143"/>
      <c r="E425" s="143"/>
      <c r="F425" s="143"/>
      <c r="G425" s="144">
        <f>G426</f>
        <v>400000</v>
      </c>
    </row>
    <row r="426" spans="1:7" ht="15.75" customHeight="1">
      <c r="A426" s="145"/>
      <c r="B426" s="143"/>
      <c r="C426" s="146" t="s">
        <v>191</v>
      </c>
      <c r="D426" s="146" t="s">
        <v>192</v>
      </c>
      <c r="E426" s="146"/>
      <c r="F426" s="143"/>
      <c r="G426" s="127">
        <f>G427</f>
        <v>400000</v>
      </c>
    </row>
    <row r="427" spans="1:7" ht="15.75" customHeight="1">
      <c r="A427" s="145"/>
      <c r="B427" s="143"/>
      <c r="C427" s="143"/>
      <c r="D427" s="143"/>
      <c r="E427" s="146" t="s">
        <v>259</v>
      </c>
      <c r="F427" s="143"/>
      <c r="G427" s="127">
        <v>400000</v>
      </c>
    </row>
    <row r="428" spans="1:7" ht="15.75" customHeight="1">
      <c r="A428" s="145"/>
      <c r="B428" s="106" t="s">
        <v>197</v>
      </c>
      <c r="C428" s="116"/>
      <c r="D428" s="106" t="s">
        <v>198</v>
      </c>
      <c r="E428" s="116"/>
      <c r="F428" s="143"/>
      <c r="G428" s="144">
        <f>G429</f>
        <v>200000</v>
      </c>
    </row>
    <row r="429" spans="1:7" ht="15.75" customHeight="1">
      <c r="A429" s="145"/>
      <c r="B429" s="109"/>
      <c r="C429" s="109" t="s">
        <v>199</v>
      </c>
      <c r="D429" s="109" t="s">
        <v>200</v>
      </c>
      <c r="E429" s="109"/>
      <c r="F429" s="143"/>
      <c r="G429" s="127">
        <v>200000</v>
      </c>
    </row>
    <row r="430" spans="1:7" ht="15.75" customHeight="1">
      <c r="A430" s="108"/>
      <c r="B430" s="106"/>
      <c r="C430" s="109"/>
      <c r="D430" s="109"/>
      <c r="E430" s="109"/>
      <c r="F430" s="109"/>
      <c r="G430" s="126"/>
    </row>
    <row r="431" spans="1:7" ht="15.75" customHeight="1">
      <c r="A431" s="102" t="s">
        <v>262</v>
      </c>
      <c r="B431" s="122"/>
      <c r="C431" s="122"/>
      <c r="D431" s="122"/>
      <c r="E431" s="122"/>
      <c r="F431" s="120"/>
      <c r="G431" s="125">
        <f>SUM(G432)</f>
        <v>5628000</v>
      </c>
    </row>
    <row r="432" spans="1:7" ht="15.75" customHeight="1">
      <c r="A432" s="105" t="s">
        <v>29</v>
      </c>
      <c r="B432" s="109"/>
      <c r="C432" s="106" t="s">
        <v>260</v>
      </c>
      <c r="D432" s="106"/>
      <c r="E432" s="106"/>
      <c r="F432" s="109"/>
      <c r="G432" s="128">
        <f>G433</f>
        <v>5628000</v>
      </c>
    </row>
    <row r="433" spans="1:7" ht="15.75" customHeight="1">
      <c r="A433" s="108"/>
      <c r="B433" s="106" t="s">
        <v>263</v>
      </c>
      <c r="C433" s="106"/>
      <c r="D433" s="106" t="s">
        <v>264</v>
      </c>
      <c r="E433" s="106"/>
      <c r="F433" s="109"/>
      <c r="G433" s="128">
        <f>SUM(G434)</f>
        <v>5628000</v>
      </c>
    </row>
    <row r="434" spans="1:7" ht="15.75" customHeight="1">
      <c r="A434" s="108"/>
      <c r="B434" s="106"/>
      <c r="C434" s="106"/>
      <c r="D434" s="106"/>
      <c r="E434" s="109" t="s">
        <v>265</v>
      </c>
      <c r="F434" s="109"/>
      <c r="G434" s="126">
        <v>5628000</v>
      </c>
    </row>
    <row r="435" spans="1:7" ht="15.75" customHeight="1">
      <c r="A435" s="108"/>
      <c r="B435" s="109"/>
      <c r="C435" s="109"/>
      <c r="D435" s="109"/>
      <c r="E435" s="109"/>
      <c r="F435" s="109"/>
      <c r="G435" s="126"/>
    </row>
    <row r="436" spans="1:7" ht="15.75" customHeight="1">
      <c r="A436" s="147"/>
      <c r="B436" s="120"/>
      <c r="C436" s="122" t="s">
        <v>266</v>
      </c>
      <c r="D436" s="122"/>
      <c r="E436" s="122"/>
      <c r="F436" s="130">
        <v>29</v>
      </c>
      <c r="G436" s="125">
        <f>G10+G67+G86+G104+G124+G157+G165+G183+G219+G240+G253+G282+G293+G297+G334+G342+G389+G431+G420+G100+G46+G95+G53+G379+G366+G113+G152</f>
        <v>617400069.7579999</v>
      </c>
    </row>
    <row r="437" spans="1:7" ht="15.75" customHeight="1">
      <c r="A437" s="108"/>
      <c r="B437" s="109"/>
      <c r="C437" s="106"/>
      <c r="D437" s="106"/>
      <c r="E437" s="106"/>
      <c r="F437" s="148"/>
      <c r="G437" s="128"/>
    </row>
    <row r="438" spans="1:7" ht="15.75" customHeight="1">
      <c r="A438" s="105" t="s">
        <v>23</v>
      </c>
      <c r="B438" s="106"/>
      <c r="C438" s="106" t="s">
        <v>150</v>
      </c>
      <c r="D438" s="106"/>
      <c r="E438" s="106"/>
      <c r="F438" s="109"/>
      <c r="G438" s="126">
        <f>G11+G68+G125+G166+G184+G254+G298+G343+G390+G367+G220</f>
        <v>111082375.6</v>
      </c>
    </row>
    <row r="439" spans="1:7" ht="15.75" customHeight="1">
      <c r="A439" s="105" t="s">
        <v>25</v>
      </c>
      <c r="B439" s="106"/>
      <c r="C439" s="106" t="s">
        <v>166</v>
      </c>
      <c r="D439" s="113"/>
      <c r="E439" s="113"/>
      <c r="F439" s="109"/>
      <c r="G439" s="126">
        <f>G19+G73+G131+G171+G194+G263+G308+G349+G396+G370+G223</f>
        <v>17054142.158</v>
      </c>
    </row>
    <row r="440" spans="1:7" ht="15.75" customHeight="1">
      <c r="A440" s="105" t="s">
        <v>27</v>
      </c>
      <c r="B440" s="106"/>
      <c r="C440" s="106" t="s">
        <v>28</v>
      </c>
      <c r="D440" s="106"/>
      <c r="E440" s="106"/>
      <c r="F440" s="109"/>
      <c r="G440" s="126">
        <f>G22+G76+G87+G105+G134+G158+G174+G197+G225+G241+G266+G283+G311+G335+G352+G399+G421+G114+G380+G372</f>
        <v>217356621</v>
      </c>
    </row>
    <row r="441" spans="1:7" ht="15.75" customHeight="1">
      <c r="A441" s="105" t="s">
        <v>29</v>
      </c>
      <c r="B441" s="109"/>
      <c r="C441" s="106" t="s">
        <v>260</v>
      </c>
      <c r="D441" s="106"/>
      <c r="E441" s="106"/>
      <c r="F441" s="109"/>
      <c r="G441" s="126">
        <f>G433</f>
        <v>5628000</v>
      </c>
    </row>
    <row r="442" spans="1:7" ht="15.75" customHeight="1">
      <c r="A442" s="105" t="s">
        <v>31</v>
      </c>
      <c r="B442" s="106"/>
      <c r="C442" s="106" t="s">
        <v>32</v>
      </c>
      <c r="D442" s="106"/>
      <c r="E442" s="106"/>
      <c r="F442" s="149"/>
      <c r="G442" s="126">
        <f>G37+G237+G250+G294+G96+G54+G101+G47</f>
        <v>101934653</v>
      </c>
    </row>
    <row r="443" spans="1:7" ht="15.75" customHeight="1">
      <c r="A443" s="105" t="s">
        <v>34</v>
      </c>
      <c r="B443" s="106"/>
      <c r="C443" s="229" t="s">
        <v>35</v>
      </c>
      <c r="D443" s="229"/>
      <c r="E443" s="229"/>
      <c r="F443" s="109"/>
      <c r="G443" s="126">
        <f>G41+G326+G210+G415</f>
        <v>74708526</v>
      </c>
    </row>
    <row r="444" spans="1:7" ht="15.75" customHeight="1">
      <c r="A444" s="105" t="s">
        <v>36</v>
      </c>
      <c r="B444" s="106"/>
      <c r="C444" s="229" t="s">
        <v>267</v>
      </c>
      <c r="D444" s="229"/>
      <c r="E444" s="229"/>
      <c r="F444" s="109"/>
      <c r="G444" s="126">
        <f>G215+G330+G152</f>
        <v>83165687</v>
      </c>
    </row>
    <row r="445" spans="1:7" ht="15.75" customHeight="1">
      <c r="A445" s="105" t="s">
        <v>38</v>
      </c>
      <c r="B445" s="106"/>
      <c r="C445" s="106" t="s">
        <v>39</v>
      </c>
      <c r="D445" s="106"/>
      <c r="E445" s="106"/>
      <c r="F445" s="149"/>
      <c r="G445" s="126"/>
    </row>
    <row r="446" spans="1:7" ht="15.75" customHeight="1">
      <c r="A446" s="105" t="s">
        <v>41</v>
      </c>
      <c r="B446" s="106"/>
      <c r="C446" s="106" t="s">
        <v>40</v>
      </c>
      <c r="D446" s="106"/>
      <c r="E446" s="106"/>
      <c r="F446" s="109"/>
      <c r="G446" s="126">
        <f>G49</f>
        <v>6470065</v>
      </c>
    </row>
    <row r="447" spans="1:7" ht="15.75" customHeight="1">
      <c r="A447" s="105"/>
      <c r="B447" s="106"/>
      <c r="C447" s="106" t="s">
        <v>266</v>
      </c>
      <c r="D447" s="106"/>
      <c r="E447" s="106"/>
      <c r="F447" s="106"/>
      <c r="G447" s="128">
        <f>SUM(G438:G446)</f>
        <v>617400069.758</v>
      </c>
    </row>
  </sheetData>
  <sheetProtection selectLockedCells="1" selectUnlockedCells="1"/>
  <mergeCells count="16">
    <mergeCell ref="A8:E9"/>
    <mergeCell ref="F8:F9"/>
    <mergeCell ref="G8:G9"/>
    <mergeCell ref="C443:E443"/>
    <mergeCell ref="C444:E444"/>
    <mergeCell ref="A7:G7"/>
    <mergeCell ref="D56:E56"/>
    <mergeCell ref="D58:E58"/>
    <mergeCell ref="D57:E57"/>
    <mergeCell ref="D59:E59"/>
    <mergeCell ref="A1:G1"/>
    <mergeCell ref="A2:G2"/>
    <mergeCell ref="A3:G3"/>
    <mergeCell ref="A4:G4"/>
    <mergeCell ref="A5:G5"/>
    <mergeCell ref="A6:G6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9" r:id="rId1"/>
  <headerFooter alignWithMargins="0">
    <oddFooter>&amp;C&amp;P. oldal, összesen: &amp;N</oddFooter>
  </headerFooter>
  <rowBreaks count="5" manualBreakCount="5">
    <brk id="85" max="6" man="1"/>
    <brk id="156" max="6" man="1"/>
    <brk id="239" max="6" man="1"/>
    <brk id="296" max="6" man="1"/>
    <brk id="37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42.7109375" style="0" customWidth="1"/>
    <col min="2" max="3" width="13.28125" style="0" customWidth="1"/>
    <col min="4" max="4" width="9.140625" style="0" customWidth="1"/>
    <col min="5" max="5" width="14.00390625" style="0" bestFit="1" customWidth="1"/>
    <col min="6" max="252" width="9.140625" style="0" customWidth="1"/>
  </cols>
  <sheetData>
    <row r="1" spans="1:5" ht="15.75">
      <c r="A1" s="214" t="s">
        <v>392</v>
      </c>
      <c r="B1" s="214"/>
      <c r="C1" s="214"/>
      <c r="D1" s="214"/>
      <c r="E1" s="214"/>
    </row>
    <row r="2" spans="1:5" ht="15.75">
      <c r="A2" s="214"/>
      <c r="B2" s="214"/>
      <c r="C2" s="214"/>
      <c r="D2" s="214"/>
      <c r="E2" s="214"/>
    </row>
    <row r="3" spans="1:5" ht="15.75">
      <c r="A3" s="199"/>
      <c r="B3" s="199"/>
      <c r="C3" s="199"/>
      <c r="D3" s="199"/>
      <c r="E3" s="199"/>
    </row>
    <row r="4" spans="1:5" ht="15.75">
      <c r="A4" s="207" t="s">
        <v>0</v>
      </c>
      <c r="B4" s="207"/>
      <c r="C4" s="207"/>
      <c r="D4" s="207"/>
      <c r="E4" s="207"/>
    </row>
    <row r="5" spans="1:5" ht="15.75">
      <c r="A5" s="207" t="s">
        <v>365</v>
      </c>
      <c r="B5" s="207"/>
      <c r="C5" s="207"/>
      <c r="D5" s="207"/>
      <c r="E5" s="207"/>
    </row>
    <row r="6" spans="1:5" ht="15.75">
      <c r="A6" s="207" t="s">
        <v>130</v>
      </c>
      <c r="B6" s="207"/>
      <c r="C6" s="207"/>
      <c r="D6" s="207"/>
      <c r="E6" s="207"/>
    </row>
    <row r="7" spans="1:5" ht="15.75">
      <c r="A7" s="61"/>
      <c r="B7" s="232" t="s">
        <v>146</v>
      </c>
      <c r="C7" s="232"/>
      <c r="D7" s="232"/>
      <c r="E7" s="232"/>
    </row>
    <row r="8" spans="1:5" ht="12.75" customHeight="1">
      <c r="A8" s="233" t="s">
        <v>132</v>
      </c>
      <c r="B8" s="218" t="s">
        <v>133</v>
      </c>
      <c r="C8" s="218" t="s">
        <v>134</v>
      </c>
      <c r="D8" s="218" t="s">
        <v>268</v>
      </c>
      <c r="E8" s="218" t="s">
        <v>136</v>
      </c>
    </row>
    <row r="9" spans="1:5" ht="12.75" customHeight="1">
      <c r="A9" s="233"/>
      <c r="B9" s="218"/>
      <c r="C9" s="218"/>
      <c r="D9" s="218"/>
      <c r="E9" s="218"/>
    </row>
    <row r="10" spans="1:5" ht="12.75" customHeight="1">
      <c r="A10" s="233"/>
      <c r="B10" s="218"/>
      <c r="C10" s="218"/>
      <c r="D10" s="218"/>
      <c r="E10" s="218"/>
    </row>
    <row r="11" spans="1:5" ht="15" customHeight="1">
      <c r="A11" s="233"/>
      <c r="B11" s="218"/>
      <c r="C11" s="218"/>
      <c r="D11" s="218"/>
      <c r="E11" s="218"/>
    </row>
    <row r="12" spans="1:5" ht="15.75">
      <c r="A12" s="70" t="s">
        <v>269</v>
      </c>
      <c r="B12" s="59">
        <f>'5.kiadás'!G10</f>
        <v>40550867.315</v>
      </c>
      <c r="C12" s="71"/>
      <c r="D12" s="59"/>
      <c r="E12" s="59">
        <f aca="true" t="shared" si="0" ref="E12:E47">SUM(B12:D12)</f>
        <v>40550867.315</v>
      </c>
    </row>
    <row r="13" spans="1:5" ht="15.75">
      <c r="A13" s="70" t="s">
        <v>270</v>
      </c>
      <c r="B13" s="59"/>
      <c r="C13" s="71"/>
      <c r="D13" s="59"/>
      <c r="E13" s="59">
        <f t="shared" si="0"/>
        <v>0</v>
      </c>
    </row>
    <row r="14" spans="1:5" ht="15.75">
      <c r="A14" s="72" t="s">
        <v>208</v>
      </c>
      <c r="B14" s="55">
        <f>'5.kiadás'!G46</f>
        <v>9111679</v>
      </c>
      <c r="C14" s="71"/>
      <c r="D14" s="59"/>
      <c r="E14" s="59">
        <f t="shared" si="0"/>
        <v>9111679</v>
      </c>
    </row>
    <row r="15" spans="1:5" ht="15.75">
      <c r="A15" s="72" t="s">
        <v>271</v>
      </c>
      <c r="B15" s="55">
        <f>'5.kiadás'!G53</f>
        <v>82193039</v>
      </c>
      <c r="C15" s="71"/>
      <c r="D15" s="59"/>
      <c r="E15" s="59">
        <f t="shared" si="0"/>
        <v>82193039</v>
      </c>
    </row>
    <row r="16" spans="1:5" ht="15.75">
      <c r="A16" s="73" t="s">
        <v>139</v>
      </c>
      <c r="B16" s="55">
        <f>'5.kiadás'!G67</f>
        <v>2881515.0149999997</v>
      </c>
      <c r="C16" s="59"/>
      <c r="D16" s="59"/>
      <c r="E16" s="59">
        <f t="shared" si="0"/>
        <v>2881515.0149999997</v>
      </c>
    </row>
    <row r="17" spans="1:5" ht="15.75">
      <c r="A17" s="70" t="s">
        <v>272</v>
      </c>
      <c r="B17" s="55">
        <f>'5.kiadás'!G86</f>
        <v>67989485</v>
      </c>
      <c r="C17" s="59"/>
      <c r="D17" s="59"/>
      <c r="E17" s="59">
        <f t="shared" si="0"/>
        <v>67989485</v>
      </c>
    </row>
    <row r="18" spans="1:5" ht="15.75">
      <c r="A18" s="70" t="s">
        <v>273</v>
      </c>
      <c r="B18" s="55"/>
      <c r="C18" s="59">
        <f>'5.kiadás'!G95</f>
        <v>500000</v>
      </c>
      <c r="D18" s="59"/>
      <c r="E18" s="59">
        <f t="shared" si="0"/>
        <v>500000</v>
      </c>
    </row>
    <row r="19" spans="1:5" ht="15.75">
      <c r="A19" s="70" t="s">
        <v>274</v>
      </c>
      <c r="B19" s="55"/>
      <c r="C19" s="59">
        <f>'5.kiadás'!G100</f>
        <v>300000</v>
      </c>
      <c r="D19" s="59"/>
      <c r="E19" s="59">
        <f t="shared" si="0"/>
        <v>300000</v>
      </c>
    </row>
    <row r="20" spans="1:5" ht="15.75">
      <c r="A20" s="73" t="s">
        <v>103</v>
      </c>
      <c r="B20" s="55"/>
      <c r="C20" s="59"/>
      <c r="D20" s="59"/>
      <c r="E20" s="59">
        <f t="shared" si="0"/>
        <v>0</v>
      </c>
    </row>
    <row r="21" spans="1:5" ht="15.75">
      <c r="A21" s="73" t="s">
        <v>346</v>
      </c>
      <c r="B21" s="55"/>
      <c r="C21" s="59"/>
      <c r="D21" s="59"/>
      <c r="E21" s="59">
        <f t="shared" si="0"/>
        <v>0</v>
      </c>
    </row>
    <row r="22" spans="1:5" ht="15.75">
      <c r="A22" s="70" t="s">
        <v>233</v>
      </c>
      <c r="B22" s="55">
        <f>'5.kiadás'!G104</f>
        <v>1905000</v>
      </c>
      <c r="C22" s="59"/>
      <c r="D22" s="59"/>
      <c r="E22" s="59">
        <f t="shared" si="0"/>
        <v>1905000</v>
      </c>
    </row>
    <row r="23" spans="1:5" ht="15.75">
      <c r="A23" s="70" t="s">
        <v>322</v>
      </c>
      <c r="B23" s="55"/>
      <c r="C23" s="59">
        <f>'5.kiadás'!G113</f>
        <v>900000</v>
      </c>
      <c r="D23" s="59"/>
      <c r="E23" s="59"/>
    </row>
    <row r="24" spans="1:5" ht="15.75">
      <c r="A24" s="70" t="s">
        <v>104</v>
      </c>
      <c r="B24" s="71"/>
      <c r="C24" s="59">
        <f>'5.kiadás'!G124</f>
        <v>6695736.875</v>
      </c>
      <c r="D24" s="59"/>
      <c r="E24" s="59">
        <f t="shared" si="0"/>
        <v>6695736.875</v>
      </c>
    </row>
    <row r="25" spans="1:5" ht="15.75">
      <c r="A25" s="73" t="s">
        <v>275</v>
      </c>
      <c r="B25" s="55"/>
      <c r="C25" s="59"/>
      <c r="D25" s="59"/>
      <c r="E25" s="59">
        <f t="shared" si="0"/>
        <v>0</v>
      </c>
    </row>
    <row r="26" spans="1:5" ht="15.75">
      <c r="A26" s="73" t="s">
        <v>337</v>
      </c>
      <c r="B26" s="55"/>
      <c r="C26" s="59">
        <f>'5.kiadás'!G152</f>
        <v>4248277</v>
      </c>
      <c r="D26" s="59"/>
      <c r="E26" s="59">
        <f t="shared" si="0"/>
        <v>4248277</v>
      </c>
    </row>
    <row r="27" spans="1:5" ht="15.75">
      <c r="A27" s="73" t="s">
        <v>242</v>
      </c>
      <c r="B27" s="55">
        <f>'5.kiadás'!G157</f>
        <v>16300000</v>
      </c>
      <c r="C27" s="59"/>
      <c r="D27" s="59"/>
      <c r="E27" s="59">
        <f t="shared" si="0"/>
        <v>16300000</v>
      </c>
    </row>
    <row r="28" spans="1:5" ht="15.75">
      <c r="A28" s="73" t="s">
        <v>243</v>
      </c>
      <c r="B28" s="55">
        <f>'5.kiadás'!G165</f>
        <v>7228344.015000001</v>
      </c>
      <c r="C28" s="59"/>
      <c r="D28" s="59"/>
      <c r="E28" s="59">
        <f t="shared" si="0"/>
        <v>7228344.015000001</v>
      </c>
    </row>
    <row r="29" spans="1:5" ht="15.75">
      <c r="A29" s="70" t="s">
        <v>107</v>
      </c>
      <c r="B29" s="55">
        <f>'5.kiadás'!G183</f>
        <v>134991784.743</v>
      </c>
      <c r="C29" s="59"/>
      <c r="D29" s="59"/>
      <c r="E29" s="59">
        <f t="shared" si="0"/>
        <v>134991784.743</v>
      </c>
    </row>
    <row r="30" spans="1:5" ht="15.75">
      <c r="A30" s="73" t="s">
        <v>249</v>
      </c>
      <c r="B30" s="55">
        <f>'5.kiadás'!G219</f>
        <v>4970718.4</v>
      </c>
      <c r="C30" s="59"/>
      <c r="D30" s="59"/>
      <c r="E30" s="59">
        <f t="shared" si="0"/>
        <v>4970718.4</v>
      </c>
    </row>
    <row r="31" spans="1:5" ht="15.75">
      <c r="A31" s="73" t="s">
        <v>250</v>
      </c>
      <c r="B31" s="55"/>
      <c r="C31" s="59"/>
      <c r="D31" s="59"/>
      <c r="E31" s="59">
        <f t="shared" si="0"/>
        <v>0</v>
      </c>
    </row>
    <row r="32" spans="1:5" ht="15.75">
      <c r="A32" s="73" t="s">
        <v>108</v>
      </c>
      <c r="B32" s="55">
        <f>'5.kiadás'!G240</f>
        <v>3160000</v>
      </c>
      <c r="C32" s="59"/>
      <c r="D32" s="59"/>
      <c r="E32" s="59">
        <f t="shared" si="0"/>
        <v>3160000</v>
      </c>
    </row>
    <row r="33" spans="1:5" ht="15.75">
      <c r="A33" s="73" t="s">
        <v>109</v>
      </c>
      <c r="B33" s="55">
        <f>'5.kiadás'!G253</f>
        <v>9470356.525</v>
      </c>
      <c r="C33" s="59"/>
      <c r="D33" s="59"/>
      <c r="E33" s="59">
        <f t="shared" si="0"/>
        <v>9470356.525</v>
      </c>
    </row>
    <row r="34" spans="1:5" ht="15.75">
      <c r="A34" s="73" t="s">
        <v>276</v>
      </c>
      <c r="B34" s="71"/>
      <c r="C34" s="59">
        <f>'5.kiadás'!G282</f>
        <v>640000</v>
      </c>
      <c r="D34" s="59"/>
      <c r="E34" s="59">
        <f t="shared" si="0"/>
        <v>640000</v>
      </c>
    </row>
    <row r="35" spans="1:5" ht="15.75">
      <c r="A35" s="70" t="s">
        <v>277</v>
      </c>
      <c r="B35" s="71"/>
      <c r="C35" s="59">
        <f>'5.kiadás'!G293</f>
        <v>1000000</v>
      </c>
      <c r="D35" s="59"/>
      <c r="E35" s="59">
        <f t="shared" si="0"/>
        <v>1000000</v>
      </c>
    </row>
    <row r="36" spans="1:5" ht="15.75">
      <c r="A36" s="73" t="s">
        <v>110</v>
      </c>
      <c r="B36" s="71"/>
      <c r="C36" s="59">
        <f>'5.kiadás'!G297</f>
        <v>185033515</v>
      </c>
      <c r="D36" s="59"/>
      <c r="E36" s="59">
        <f t="shared" si="0"/>
        <v>185033515</v>
      </c>
    </row>
    <row r="37" spans="1:5" ht="15.75">
      <c r="A37" s="73" t="s">
        <v>257</v>
      </c>
      <c r="B37" s="71"/>
      <c r="C37" s="59">
        <f>'5.kiadás'!G334</f>
        <v>530000</v>
      </c>
      <c r="D37" s="59"/>
      <c r="E37" s="59">
        <f t="shared" si="0"/>
        <v>530000</v>
      </c>
    </row>
    <row r="38" spans="1:5" ht="15.75">
      <c r="A38" s="73" t="s">
        <v>112</v>
      </c>
      <c r="B38" s="71"/>
      <c r="C38" s="59">
        <f>'5.kiadás'!G342</f>
        <v>5683028.515000001</v>
      </c>
      <c r="D38" s="59"/>
      <c r="E38" s="59">
        <f t="shared" si="0"/>
        <v>5683028.515000001</v>
      </c>
    </row>
    <row r="39" spans="1:5" ht="15.75">
      <c r="A39" s="73" t="s">
        <v>315</v>
      </c>
      <c r="B39" s="71"/>
      <c r="C39" s="59">
        <f>'5.kiadás'!G366</f>
        <v>983729</v>
      </c>
      <c r="D39" s="59"/>
      <c r="E39" s="59"/>
    </row>
    <row r="40" spans="1:5" ht="15.75">
      <c r="A40" s="73" t="s">
        <v>316</v>
      </c>
      <c r="B40" s="71"/>
      <c r="C40" s="59">
        <f>'5.kiadás'!G379</f>
        <v>339000</v>
      </c>
      <c r="D40" s="59"/>
      <c r="E40" s="59"/>
    </row>
    <row r="41" spans="1:5" ht="15.75">
      <c r="A41" s="73" t="s">
        <v>145</v>
      </c>
      <c r="B41" s="71"/>
      <c r="C41" s="59">
        <f>'5.kiadás'!G389</f>
        <v>23165994.355</v>
      </c>
      <c r="D41" s="59"/>
      <c r="E41" s="59">
        <f t="shared" si="0"/>
        <v>23165994.355</v>
      </c>
    </row>
    <row r="42" spans="1:5" ht="15.75">
      <c r="A42" s="73" t="s">
        <v>278</v>
      </c>
      <c r="B42" s="71"/>
      <c r="C42" s="59">
        <f>'5.kiadás'!G420</f>
        <v>1000000</v>
      </c>
      <c r="D42" s="59"/>
      <c r="E42" s="59">
        <f t="shared" si="0"/>
        <v>1000000</v>
      </c>
    </row>
    <row r="43" spans="1:5" ht="15.75">
      <c r="A43" s="73" t="s">
        <v>279</v>
      </c>
      <c r="B43" s="55"/>
      <c r="C43" s="59">
        <v>0</v>
      </c>
      <c r="D43" s="59"/>
      <c r="E43" s="59">
        <f t="shared" si="0"/>
        <v>0</v>
      </c>
    </row>
    <row r="44" spans="1:5" ht="15.75">
      <c r="A44" s="73" t="s">
        <v>280</v>
      </c>
      <c r="B44" s="55">
        <v>0</v>
      </c>
      <c r="C44" s="59"/>
      <c r="D44" s="59"/>
      <c r="E44" s="59">
        <f t="shared" si="0"/>
        <v>0</v>
      </c>
    </row>
    <row r="45" spans="1:5" ht="15.75">
      <c r="A45" s="73" t="s">
        <v>281</v>
      </c>
      <c r="B45" s="55"/>
      <c r="C45" s="59">
        <v>0</v>
      </c>
      <c r="D45" s="59"/>
      <c r="E45" s="59">
        <f t="shared" si="0"/>
        <v>0</v>
      </c>
    </row>
    <row r="46" spans="1:5" ht="15.75">
      <c r="A46" s="73" t="s">
        <v>261</v>
      </c>
      <c r="B46" s="55"/>
      <c r="C46" s="59"/>
      <c r="D46" s="59"/>
      <c r="E46" s="59">
        <f t="shared" si="0"/>
        <v>0</v>
      </c>
    </row>
    <row r="47" spans="1:5" ht="15.75">
      <c r="A47" s="70" t="s">
        <v>262</v>
      </c>
      <c r="B47" s="55">
        <f>'5.kiadás'!G431</f>
        <v>5628000</v>
      </c>
      <c r="C47" s="59"/>
      <c r="D47" s="59"/>
      <c r="E47" s="59">
        <f t="shared" si="0"/>
        <v>5628000</v>
      </c>
    </row>
    <row r="48" spans="1:5" ht="15.75">
      <c r="A48" s="64" t="s">
        <v>266</v>
      </c>
      <c r="B48" s="71">
        <f>SUM(B12:B47)</f>
        <v>386380789.0129999</v>
      </c>
      <c r="C48" s="71">
        <f>SUM(C12:C47)</f>
        <v>231019280.74499997</v>
      </c>
      <c r="D48" s="71">
        <f>SUM(D12:D47)</f>
        <v>0</v>
      </c>
      <c r="E48" s="74">
        <f>SUM(B48:D48)</f>
        <v>617400069.7579999</v>
      </c>
    </row>
  </sheetData>
  <sheetProtection selectLockedCells="1" selectUnlockedCells="1"/>
  <mergeCells count="12">
    <mergeCell ref="B7:E7"/>
    <mergeCell ref="A8:A11"/>
    <mergeCell ref="B8:B11"/>
    <mergeCell ref="C8:C11"/>
    <mergeCell ref="D8:D11"/>
    <mergeCell ref="E8:E11"/>
    <mergeCell ref="A1:E1"/>
    <mergeCell ref="A2:E2"/>
    <mergeCell ref="A3:E3"/>
    <mergeCell ref="A4:E4"/>
    <mergeCell ref="A5:E5"/>
    <mergeCell ref="A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2.7109375" style="0" customWidth="1"/>
    <col min="4" max="255" width="9.140625" style="0" customWidth="1"/>
  </cols>
  <sheetData>
    <row r="1" spans="1:2" ht="15.75">
      <c r="A1" s="222" t="s">
        <v>393</v>
      </c>
      <c r="B1" s="222"/>
    </row>
    <row r="2" spans="1:2" ht="15.75">
      <c r="A2" s="222"/>
      <c r="B2" s="222"/>
    </row>
    <row r="3" spans="1:2" ht="15.75">
      <c r="A3" s="199"/>
      <c r="B3" s="199"/>
    </row>
    <row r="4" spans="1:2" ht="15.75">
      <c r="A4" s="207" t="s">
        <v>0</v>
      </c>
      <c r="B4" s="207"/>
    </row>
    <row r="5" spans="1:2" ht="15.75">
      <c r="A5" s="215" t="s">
        <v>366</v>
      </c>
      <c r="B5" s="215"/>
    </row>
    <row r="6" spans="1:2" ht="15.75">
      <c r="A6" s="215" t="s">
        <v>43</v>
      </c>
      <c r="B6" s="215"/>
    </row>
    <row r="7" spans="1:2" ht="15.75">
      <c r="A7" s="222" t="s">
        <v>282</v>
      </c>
      <c r="B7" s="222"/>
    </row>
    <row r="8" spans="1:2" ht="12.75" customHeight="1">
      <c r="A8" s="234" t="s">
        <v>283</v>
      </c>
      <c r="B8" s="235" t="s">
        <v>2</v>
      </c>
    </row>
    <row r="9" spans="1:2" ht="21.75" customHeight="1">
      <c r="A9" s="234"/>
      <c r="B9" s="235"/>
    </row>
    <row r="10" spans="1:2" ht="15.75">
      <c r="A10" s="75" t="s">
        <v>35</v>
      </c>
      <c r="B10" s="76"/>
    </row>
    <row r="11" spans="1:2" ht="15.75">
      <c r="A11" s="76" t="s">
        <v>348</v>
      </c>
      <c r="B11" s="77">
        <f>'5.kiadás'!G211</f>
        <v>6613617</v>
      </c>
    </row>
    <row r="12" spans="1:2" ht="15.75">
      <c r="A12" s="76" t="s">
        <v>319</v>
      </c>
      <c r="B12" s="77">
        <f>'5.kiadás'!G43</f>
        <v>378000</v>
      </c>
    </row>
    <row r="13" spans="1:2" ht="15.75">
      <c r="A13" s="76" t="s">
        <v>338</v>
      </c>
      <c r="B13" s="77">
        <f>'5.kiadás'!G328</f>
        <v>46605450</v>
      </c>
    </row>
    <row r="14" spans="1:2" ht="15.75">
      <c r="A14" s="76" t="s">
        <v>370</v>
      </c>
      <c r="B14" s="77">
        <f>'5.kiadás'!G327</f>
        <v>5000000</v>
      </c>
    </row>
    <row r="15" spans="1:2" ht="15.75">
      <c r="A15" s="76" t="s">
        <v>376</v>
      </c>
      <c r="B15" s="77">
        <f>'5.kiadás'!G417</f>
        <v>31488</v>
      </c>
    </row>
    <row r="16" spans="1:2" ht="15.75">
      <c r="A16" s="76" t="s">
        <v>385</v>
      </c>
      <c r="B16" s="77">
        <f>'5.kiadás'!G213</f>
        <v>50000</v>
      </c>
    </row>
    <row r="17" spans="1:2" ht="15.75">
      <c r="A17" s="76" t="s">
        <v>386</v>
      </c>
      <c r="B17" s="77">
        <f>'5.kiadás'!G212+'5.kiadás'!G416+'5.kiadás'!G42</f>
        <v>227400</v>
      </c>
    </row>
    <row r="18" spans="1:2" ht="15.75">
      <c r="A18" s="76" t="s">
        <v>284</v>
      </c>
      <c r="B18" s="77">
        <f>SUM(B11:B17)</f>
        <v>58905955</v>
      </c>
    </row>
    <row r="19" spans="1:2" ht="15.75">
      <c r="A19" s="76" t="s">
        <v>285</v>
      </c>
      <c r="B19" s="77">
        <f>'5.kiadás'!G329+'5.kiadás'!G214+'5.kiadás'!G418+'5.kiadás'!G44</f>
        <v>15802571</v>
      </c>
    </row>
    <row r="20" spans="1:2" ht="15.75">
      <c r="A20" s="78" t="s">
        <v>286</v>
      </c>
      <c r="B20" s="79">
        <f>SUM(B18:B19)</f>
        <v>74708526</v>
      </c>
    </row>
    <row r="21" spans="1:2" ht="15.75">
      <c r="A21" s="76"/>
      <c r="B21" s="77"/>
    </row>
    <row r="22" spans="1:2" ht="15.75">
      <c r="A22" s="80" t="s">
        <v>287</v>
      </c>
      <c r="B22" s="81">
        <f>B18+B19</f>
        <v>74708526</v>
      </c>
    </row>
    <row r="23" spans="1:2" ht="15.75">
      <c r="A23" s="76"/>
      <c r="B23" s="77"/>
    </row>
    <row r="24" spans="1:2" ht="15.75">
      <c r="A24" s="75" t="s">
        <v>37</v>
      </c>
      <c r="B24" s="77"/>
    </row>
    <row r="25" spans="1:2" ht="15.75">
      <c r="A25" s="76" t="s">
        <v>360</v>
      </c>
      <c r="B25" s="77">
        <f>'5.kiadás'!G154</f>
        <v>3345100</v>
      </c>
    </row>
    <row r="26" spans="1:2" ht="15.75">
      <c r="A26" s="178" t="s">
        <v>369</v>
      </c>
      <c r="B26" s="77">
        <f>'5.kiadás'!G331</f>
        <v>33601550</v>
      </c>
    </row>
    <row r="27" spans="1:2" ht="15.75">
      <c r="A27" s="177" t="s">
        <v>349</v>
      </c>
      <c r="B27" s="77">
        <v>26678300</v>
      </c>
    </row>
    <row r="28" spans="1:2" ht="15.75">
      <c r="A28" s="177" t="s">
        <v>384</v>
      </c>
      <c r="B28" s="77">
        <v>1860000</v>
      </c>
    </row>
    <row r="29" spans="1:2" ht="15.75">
      <c r="A29" s="76" t="s">
        <v>288</v>
      </c>
      <c r="B29" s="77">
        <f>SUM(B25:B28)</f>
        <v>65484950</v>
      </c>
    </row>
    <row r="30" spans="1:2" ht="15.75">
      <c r="A30" s="76" t="s">
        <v>289</v>
      </c>
      <c r="B30" s="77">
        <f>'5.kiadás'!G217+'5.kiadás'!G332+'5.kiadás'!G155</f>
        <v>17680737</v>
      </c>
    </row>
    <row r="31" spans="1:2" ht="15.75">
      <c r="A31" s="80" t="s">
        <v>290</v>
      </c>
      <c r="B31" s="81">
        <f>SUM(B29:B30)</f>
        <v>83165687</v>
      </c>
    </row>
    <row r="32" spans="1:2" ht="15.75">
      <c r="A32" s="76"/>
      <c r="B32" s="77"/>
    </row>
    <row r="33" spans="1:2" ht="15.75">
      <c r="A33" s="80" t="s">
        <v>291</v>
      </c>
      <c r="B33" s="81">
        <f>B22+B31</f>
        <v>157874213</v>
      </c>
    </row>
    <row r="34" spans="1:2" ht="15.75">
      <c r="A34" s="82" t="s">
        <v>292</v>
      </c>
      <c r="B34" s="174">
        <f>B20+B31</f>
        <v>157874213</v>
      </c>
    </row>
  </sheetData>
  <sheetProtection selectLockedCells="1" selectUnlockedCells="1"/>
  <mergeCells count="9">
    <mergeCell ref="A7:B7"/>
    <mergeCell ref="A8:A9"/>
    <mergeCell ref="B8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241" t="s">
        <v>394</v>
      </c>
      <c r="B1" s="241"/>
      <c r="C1" s="241"/>
      <c r="D1" s="241"/>
      <c r="E1" s="241"/>
    </row>
    <row r="2" spans="1:4" ht="15.75">
      <c r="A2" s="241"/>
      <c r="B2" s="241"/>
      <c r="C2" s="241"/>
      <c r="D2" s="241"/>
    </row>
    <row r="3" spans="1:4" ht="15.75">
      <c r="A3" s="200"/>
      <c r="B3" s="200"/>
      <c r="C3" s="200"/>
      <c r="D3" s="200"/>
    </row>
    <row r="4" spans="1:5" ht="15.75">
      <c r="A4" s="242" t="s">
        <v>0</v>
      </c>
      <c r="B4" s="242"/>
      <c r="C4" s="242"/>
      <c r="D4" s="242"/>
      <c r="E4" s="242"/>
    </row>
    <row r="5" spans="1:5" ht="15.75">
      <c r="A5" s="243" t="s">
        <v>293</v>
      </c>
      <c r="B5" s="243"/>
      <c r="C5" s="243"/>
      <c r="D5" s="243"/>
      <c r="E5" s="243"/>
    </row>
    <row r="6" spans="2:4" ht="15.75">
      <c r="B6" s="243"/>
      <c r="C6" s="243"/>
      <c r="D6" s="243"/>
    </row>
    <row r="7" spans="2:4" ht="15.75">
      <c r="B7" s="85"/>
      <c r="C7" s="84"/>
      <c r="D7" s="84" t="s">
        <v>282</v>
      </c>
    </row>
    <row r="8" spans="1:253" ht="15.75" customHeight="1">
      <c r="A8" s="236" t="s">
        <v>1</v>
      </c>
      <c r="B8" s="236"/>
      <c r="C8" s="237" t="s">
        <v>377</v>
      </c>
      <c r="D8" s="238" t="s">
        <v>378</v>
      </c>
      <c r="E8" s="239" t="s">
        <v>379</v>
      </c>
      <c r="IS8"/>
    </row>
    <row r="9" spans="1:253" ht="15.75">
      <c r="A9" s="236"/>
      <c r="B9" s="236"/>
      <c r="C9" s="237"/>
      <c r="D9" s="238"/>
      <c r="E9" s="240" t="s">
        <v>294</v>
      </c>
      <c r="IS9"/>
    </row>
    <row r="10" spans="1:253" ht="15.75">
      <c r="A10" s="75" t="s">
        <v>4</v>
      </c>
      <c r="B10" s="76" t="s">
        <v>295</v>
      </c>
      <c r="C10" s="150">
        <v>132815242</v>
      </c>
      <c r="D10" s="150">
        <v>121423656</v>
      </c>
      <c r="E10" s="162">
        <f>'1.Mérleg'!C11</f>
        <v>99108746</v>
      </c>
      <c r="IS10"/>
    </row>
    <row r="11" spans="1:253" ht="15.75">
      <c r="A11" s="75" t="s">
        <v>6</v>
      </c>
      <c r="B11" s="76" t="s">
        <v>7</v>
      </c>
      <c r="C11" s="150">
        <v>155322687</v>
      </c>
      <c r="D11" s="150">
        <v>105066920</v>
      </c>
      <c r="E11" s="162">
        <f>'1.Mérleg'!C12</f>
        <v>121500000</v>
      </c>
      <c r="IS11"/>
    </row>
    <row r="12" spans="1:253" ht="15.75">
      <c r="A12" s="75" t="s">
        <v>8</v>
      </c>
      <c r="B12" s="76" t="s">
        <v>9</v>
      </c>
      <c r="C12" s="150">
        <v>142101998</v>
      </c>
      <c r="D12" s="150">
        <v>168858675</v>
      </c>
      <c r="E12" s="162">
        <f>'1.Mérleg'!C13</f>
        <v>196931095</v>
      </c>
      <c r="IS12"/>
    </row>
    <row r="13" spans="1:253" ht="15.75">
      <c r="A13" s="75" t="s">
        <v>10</v>
      </c>
      <c r="B13" s="76" t="s">
        <v>11</v>
      </c>
      <c r="C13" s="97">
        <v>640717</v>
      </c>
      <c r="D13" s="97">
        <v>1625125</v>
      </c>
      <c r="E13" s="162">
        <f>'1.Mérleg'!C14</f>
        <v>200000</v>
      </c>
      <c r="IS13"/>
    </row>
    <row r="14" spans="1:253" ht="15.75">
      <c r="A14" s="76"/>
      <c r="B14" s="75" t="s">
        <v>296</v>
      </c>
      <c r="C14" s="153">
        <f>SUM(C10:C13)</f>
        <v>430880644</v>
      </c>
      <c r="D14" s="154">
        <f>SUM(D10:D13)</f>
        <v>396974376</v>
      </c>
      <c r="E14" s="151">
        <f>SUM(E10:E13)</f>
        <v>417739841</v>
      </c>
      <c r="IS14"/>
    </row>
    <row r="15" spans="1:253" ht="15.75">
      <c r="A15" s="25"/>
      <c r="B15" s="25"/>
      <c r="C15" s="25"/>
      <c r="D15" s="25"/>
      <c r="E15" s="25"/>
      <c r="IS15"/>
    </row>
    <row r="16" spans="1:253" ht="15.75">
      <c r="A16" s="25"/>
      <c r="B16" s="25"/>
      <c r="C16" s="25"/>
      <c r="D16" s="25"/>
      <c r="E16" s="25"/>
      <c r="IS16"/>
    </row>
    <row r="17" spans="1:253" ht="15.75">
      <c r="A17" s="75" t="s">
        <v>23</v>
      </c>
      <c r="B17" s="54" t="s">
        <v>150</v>
      </c>
      <c r="C17" s="155">
        <v>94323829</v>
      </c>
      <c r="D17" s="155">
        <v>103513680</v>
      </c>
      <c r="E17" s="163">
        <f>'1.Mérleg'!C28</f>
        <v>111082375.6</v>
      </c>
      <c r="IS17"/>
    </row>
    <row r="18" spans="1:253" ht="15.75">
      <c r="A18" s="75" t="s">
        <v>25</v>
      </c>
      <c r="B18" s="54" t="s">
        <v>297</v>
      </c>
      <c r="C18" s="97">
        <v>17849626</v>
      </c>
      <c r="D18" s="97">
        <v>17160783</v>
      </c>
      <c r="E18" s="163">
        <f>'1.Mérleg'!C29</f>
        <v>17054142.158</v>
      </c>
      <c r="IS18"/>
    </row>
    <row r="19" spans="1:253" ht="15.75">
      <c r="A19" s="75" t="s">
        <v>27</v>
      </c>
      <c r="B19" s="54" t="s">
        <v>28</v>
      </c>
      <c r="C19" s="97">
        <v>150764875</v>
      </c>
      <c r="D19" s="97">
        <v>112176163</v>
      </c>
      <c r="E19" s="163">
        <f>'1.Mérleg'!C30</f>
        <v>217356621</v>
      </c>
      <c r="IS19"/>
    </row>
    <row r="20" spans="1:253" ht="15.75">
      <c r="A20" s="87" t="s">
        <v>29</v>
      </c>
      <c r="B20" s="54" t="s">
        <v>260</v>
      </c>
      <c r="C20" s="97">
        <v>4213100</v>
      </c>
      <c r="D20" s="97">
        <v>5243200</v>
      </c>
      <c r="E20" s="163">
        <f>'1.Mérleg'!C31</f>
        <v>5628000</v>
      </c>
      <c r="IS20"/>
    </row>
    <row r="21" spans="1:253" ht="15.75">
      <c r="A21" s="87" t="s">
        <v>31</v>
      </c>
      <c r="B21" s="54" t="s">
        <v>32</v>
      </c>
      <c r="C21" s="97">
        <v>91606903</v>
      </c>
      <c r="D21" s="97">
        <v>83557126</v>
      </c>
      <c r="E21" s="163">
        <f>'1.Mérleg'!C32</f>
        <v>101934653</v>
      </c>
      <c r="IS21"/>
    </row>
    <row r="22" spans="1:253" ht="15.75">
      <c r="A22" s="75"/>
      <c r="B22" s="88" t="s">
        <v>298</v>
      </c>
      <c r="C22" s="86">
        <f>SUM(C17:C21)</f>
        <v>358758333</v>
      </c>
      <c r="D22" s="98">
        <f>SUM(D17:D21)</f>
        <v>321650952</v>
      </c>
      <c r="E22" s="100">
        <f>SUM(E17:E21)</f>
        <v>453055791.758</v>
      </c>
      <c r="IS22"/>
    </row>
    <row r="23" spans="1:253" ht="15.75">
      <c r="A23" s="89"/>
      <c r="B23" s="25"/>
      <c r="C23" s="25"/>
      <c r="D23" s="25"/>
      <c r="E23" s="152"/>
      <c r="IS23"/>
    </row>
    <row r="24" spans="1:253" ht="15.75">
      <c r="A24" s="90" t="s">
        <v>20</v>
      </c>
      <c r="B24" s="91" t="s">
        <v>19</v>
      </c>
      <c r="C24" s="97">
        <v>209125604</v>
      </c>
      <c r="D24" s="97">
        <v>107603332</v>
      </c>
      <c r="E24" s="163">
        <f>'1.Mérleg'!C22</f>
        <v>186060229</v>
      </c>
      <c r="IS24"/>
    </row>
    <row r="25" spans="1:253" ht="15.75">
      <c r="A25" s="92"/>
      <c r="B25" s="93" t="s">
        <v>299</v>
      </c>
      <c r="C25" s="86">
        <f>SUM(C24)</f>
        <v>209125604</v>
      </c>
      <c r="D25" s="98">
        <f>SUM(D24)</f>
        <v>107603332</v>
      </c>
      <c r="E25" s="100">
        <f>SUM(E24)</f>
        <v>186060229</v>
      </c>
      <c r="IS25"/>
    </row>
    <row r="26" spans="5:253" ht="15.75">
      <c r="E26" s="152"/>
      <c r="IS26"/>
    </row>
    <row r="27" spans="1:253" ht="15.75">
      <c r="A27" s="94" t="s">
        <v>41</v>
      </c>
      <c r="B27" s="76" t="s">
        <v>40</v>
      </c>
      <c r="C27" s="97">
        <v>5762819</v>
      </c>
      <c r="D27" s="97">
        <v>7322450</v>
      </c>
      <c r="E27" s="163">
        <f>'1.Mérleg'!C40</f>
        <v>6470065</v>
      </c>
      <c r="IS27"/>
    </row>
    <row r="28" spans="1:253" ht="15.75">
      <c r="A28" s="76"/>
      <c r="B28" s="75" t="s">
        <v>300</v>
      </c>
      <c r="C28" s="86">
        <f>SUM(C27)</f>
        <v>5762819</v>
      </c>
      <c r="D28" s="98">
        <f>SUM(D27)</f>
        <v>7322450</v>
      </c>
      <c r="E28" s="100">
        <f>SUM(E27)</f>
        <v>6470065</v>
      </c>
      <c r="IS28"/>
    </row>
  </sheetData>
  <sheetProtection selectLockedCells="1" selectUnlockedCells="1"/>
  <mergeCells count="10">
    <mergeCell ref="A8:B9"/>
    <mergeCell ref="C8:C9"/>
    <mergeCell ref="D8:D9"/>
    <mergeCell ref="E8:E9"/>
    <mergeCell ref="A1:E1"/>
    <mergeCell ref="A4:E4"/>
    <mergeCell ref="A5:E5"/>
    <mergeCell ref="A2:D2"/>
    <mergeCell ref="A3:D3"/>
    <mergeCell ref="B6:D6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241" t="s">
        <v>395</v>
      </c>
      <c r="B1" s="241"/>
      <c r="C1" s="241"/>
      <c r="D1" s="241"/>
      <c r="E1" s="241"/>
    </row>
    <row r="2" spans="1:4" ht="15.75" customHeight="1">
      <c r="A2" s="241"/>
      <c r="B2" s="241"/>
      <c r="C2" s="241"/>
      <c r="D2" s="241"/>
    </row>
    <row r="3" spans="1:4" ht="15.75" customHeight="1">
      <c r="A3" s="248"/>
      <c r="B3" s="248"/>
      <c r="C3" s="248"/>
      <c r="D3" s="248"/>
    </row>
    <row r="4" spans="1:5" ht="15.75" customHeight="1">
      <c r="A4" s="242" t="s">
        <v>0</v>
      </c>
      <c r="B4" s="242"/>
      <c r="C4" s="242"/>
      <c r="D4" s="242"/>
      <c r="E4" s="242"/>
    </row>
    <row r="5" spans="1:5" ht="15.75" customHeight="1">
      <c r="A5" s="243" t="s">
        <v>301</v>
      </c>
      <c r="B5" s="243"/>
      <c r="C5" s="243"/>
      <c r="D5" s="243"/>
      <c r="E5" s="243"/>
    </row>
    <row r="6" spans="2:4" ht="15.75" customHeight="1">
      <c r="B6" s="243"/>
      <c r="C6" s="243"/>
      <c r="D6" s="243"/>
    </row>
    <row r="7" spans="2:4" ht="15.75" customHeight="1">
      <c r="B7" s="85"/>
      <c r="C7" s="83"/>
      <c r="D7" s="83"/>
    </row>
    <row r="8" spans="1:253" ht="15.75" customHeight="1">
      <c r="A8" s="244" t="s">
        <v>1</v>
      </c>
      <c r="B8" s="244"/>
      <c r="C8" s="245" t="s">
        <v>380</v>
      </c>
      <c r="D8" s="246" t="s">
        <v>381</v>
      </c>
      <c r="E8" s="247" t="s">
        <v>382</v>
      </c>
      <c r="IS8"/>
    </row>
    <row r="9" spans="1:253" ht="15.75" customHeight="1">
      <c r="A9" s="244"/>
      <c r="B9" s="244"/>
      <c r="C9" s="245"/>
      <c r="D9" s="246"/>
      <c r="E9" s="247"/>
      <c r="IS9"/>
    </row>
    <row r="10" spans="1:253" ht="15.75" customHeight="1">
      <c r="A10" s="75" t="s">
        <v>13</v>
      </c>
      <c r="B10" s="76" t="s">
        <v>302</v>
      </c>
      <c r="C10" s="97">
        <v>51456743</v>
      </c>
      <c r="D10" s="97">
        <v>41374828</v>
      </c>
      <c r="E10" s="164">
        <f>'1.Mérleg'!C17</f>
        <v>13000000</v>
      </c>
      <c r="IS10"/>
    </row>
    <row r="11" spans="1:253" ht="15.75" customHeight="1">
      <c r="A11" s="75" t="s">
        <v>15</v>
      </c>
      <c r="B11" s="76" t="s">
        <v>16</v>
      </c>
      <c r="C11" s="97">
        <v>598146</v>
      </c>
      <c r="D11" s="97">
        <v>598140</v>
      </c>
      <c r="E11" s="164">
        <f>'1.Mérleg'!C18</f>
        <v>600000</v>
      </c>
      <c r="IS11"/>
    </row>
    <row r="12" spans="1:253" ht="15.75" customHeight="1">
      <c r="A12" s="75" t="s">
        <v>17</v>
      </c>
      <c r="B12" s="76" t="s">
        <v>18</v>
      </c>
      <c r="C12" s="97">
        <v>842624</v>
      </c>
      <c r="D12" s="97">
        <v>143326250</v>
      </c>
      <c r="E12" s="164">
        <f>'1.Mérleg'!C19</f>
        <v>0</v>
      </c>
      <c r="IS12"/>
    </row>
    <row r="13" spans="1:253" ht="15.75" customHeight="1">
      <c r="A13" s="156"/>
      <c r="B13" s="156" t="s">
        <v>303</v>
      </c>
      <c r="C13" s="153">
        <f>SUM(C10:C12)</f>
        <v>52897513</v>
      </c>
      <c r="D13" s="154">
        <f>SUM(D10:D12)</f>
        <v>185299218</v>
      </c>
      <c r="E13" s="100">
        <f>SUM(E10:E12)</f>
        <v>13600000</v>
      </c>
      <c r="IS13"/>
    </row>
    <row r="14" spans="1:253" ht="15.75" customHeight="1">
      <c r="A14" s="95"/>
      <c r="IS14"/>
    </row>
    <row r="15" spans="1:253" ht="15.75" customHeight="1">
      <c r="A15" s="95"/>
      <c r="IS15"/>
    </row>
    <row r="16" spans="1:253" ht="15.75" customHeight="1">
      <c r="A16" s="75" t="s">
        <v>34</v>
      </c>
      <c r="B16" s="54" t="s">
        <v>35</v>
      </c>
      <c r="C16" s="97">
        <v>49315836</v>
      </c>
      <c r="D16" s="97">
        <v>76712625</v>
      </c>
      <c r="E16" s="163">
        <f>'1.Mérleg'!C35</f>
        <v>74708526</v>
      </c>
      <c r="IS16"/>
    </row>
    <row r="17" spans="1:253" ht="15.75" customHeight="1">
      <c r="A17" s="75" t="s">
        <v>36</v>
      </c>
      <c r="B17" s="54" t="s">
        <v>37</v>
      </c>
      <c r="C17" s="97">
        <v>55757418</v>
      </c>
      <c r="D17" s="97">
        <v>107450595</v>
      </c>
      <c r="E17" s="163">
        <f>'1.Mérleg'!C36</f>
        <v>83165687</v>
      </c>
      <c r="IS17"/>
    </row>
    <row r="18" spans="1:253" ht="15.75" customHeight="1">
      <c r="A18" s="75" t="s">
        <v>38</v>
      </c>
      <c r="B18" s="54" t="s">
        <v>39</v>
      </c>
      <c r="C18" s="97"/>
      <c r="D18" s="97">
        <v>0</v>
      </c>
      <c r="E18" s="163">
        <f>'1.Mérleg'!C37</f>
        <v>0</v>
      </c>
      <c r="IS18"/>
    </row>
    <row r="19" spans="1:253" ht="15.75" customHeight="1">
      <c r="A19" s="76"/>
      <c r="B19" s="75" t="s">
        <v>304</v>
      </c>
      <c r="C19" s="86">
        <f>SUM(C16:C18)</f>
        <v>105073254</v>
      </c>
      <c r="D19" s="98">
        <f>SUM(D16:D18)</f>
        <v>184163220</v>
      </c>
      <c r="E19" s="100">
        <f>SUM(E16:E18)</f>
        <v>157874213</v>
      </c>
      <c r="IS19"/>
    </row>
    <row r="20" ht="15.75" customHeight="1">
      <c r="IS20"/>
    </row>
    <row r="21" spans="2:253" ht="15.75" customHeight="1">
      <c r="B21" s="95"/>
      <c r="IS21"/>
    </row>
    <row r="22" spans="1:253" ht="15.75" customHeight="1">
      <c r="A22" s="75"/>
      <c r="B22" s="75" t="s">
        <v>113</v>
      </c>
      <c r="C22" s="86">
        <f>'8.Tájékoztató műk'!C14+'9.Tájékoztató felhalm.'!C13+'8.Tájékoztató műk'!C25</f>
        <v>692903761</v>
      </c>
      <c r="D22" s="86">
        <f>'8.Tájékoztató műk'!D14+'9.Tájékoztató felhalm.'!D13+'8.Tájékoztató műk'!D25</f>
        <v>689876926</v>
      </c>
      <c r="E22" s="86">
        <f>'8.Tájékoztató műk'!E14+'9.Tájékoztató felhalm.'!E13+'8.Tájékoztató műk'!E25</f>
        <v>617400070</v>
      </c>
      <c r="IS22"/>
    </row>
    <row r="23" spans="1:253" ht="15.75" customHeight="1">
      <c r="A23" s="95"/>
      <c r="B23" s="95"/>
      <c r="C23" s="96"/>
      <c r="D23" s="96"/>
      <c r="IS23"/>
    </row>
    <row r="24" spans="1:253" ht="15.75" customHeight="1">
      <c r="A24" s="75"/>
      <c r="B24" s="75" t="s">
        <v>266</v>
      </c>
      <c r="C24" s="86">
        <f>C19+'8.Tájékoztató műk'!C22+'8.Tájékoztató műk'!C28</f>
        <v>469594406</v>
      </c>
      <c r="D24" s="86">
        <f>D19+'8.Tájékoztató műk'!D22+'8.Tájékoztató műk'!D28</f>
        <v>513136622</v>
      </c>
      <c r="E24" s="86">
        <f>E19+'8.Tájékoztató műk'!E22+'8.Tájékoztató műk'!E28</f>
        <v>617400069.758</v>
      </c>
      <c r="IS24"/>
    </row>
  </sheetData>
  <sheetProtection selectLockedCells="1" selectUnlockedCells="1"/>
  <mergeCells count="10">
    <mergeCell ref="A8:B9"/>
    <mergeCell ref="C8:C9"/>
    <mergeCell ref="D8:D9"/>
    <mergeCell ref="E8:E9"/>
    <mergeCell ref="A1:E1"/>
    <mergeCell ref="A4:E4"/>
    <mergeCell ref="A5:E5"/>
    <mergeCell ref="A2:D2"/>
    <mergeCell ref="A3:D3"/>
    <mergeCell ref="B6:D6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PozsgaiVirag</cp:lastModifiedBy>
  <cp:lastPrinted>2021-02-17T08:50:12Z</cp:lastPrinted>
  <dcterms:created xsi:type="dcterms:W3CDTF">2018-02-05T07:13:48Z</dcterms:created>
  <dcterms:modified xsi:type="dcterms:W3CDTF">2021-03-12T08:01:22Z</dcterms:modified>
  <cp:category/>
  <cp:version/>
  <cp:contentType/>
  <cp:contentStatus/>
</cp:coreProperties>
</file>