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2" activeTab="9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  <sheet name="10. Vagyonkimutatás" sheetId="10" r:id="rId10"/>
    <sheet name="11. Pénzmaradvány" sheetId="11" r:id="rId11"/>
    <sheet name="12. Eredménykimutatás" sheetId="12" r:id="rId12"/>
    <sheet name="13. Személyi juttatások" sheetId="13" r:id="rId13"/>
    <sheet name="14. Kimutatás immateriális java" sheetId="14" r:id="rId14"/>
  </sheets>
  <definedNames>
    <definedName name="Excel_BuiltIn_Print_Area_1_1">#REF!</definedName>
    <definedName name="Excel_BuiltIn_Print_Area_2_1">#REF!</definedName>
    <definedName name="Excel_BuiltIn_Print_Area_3_1">'5.kiadás'!$A$3:$E$287</definedName>
    <definedName name="_xlnm.Print_Titles" localSheetId="1">'2. Bevétel funkció'!$1:$5</definedName>
    <definedName name="_xlnm.Print_Titles" localSheetId="2">'3.Bevétel jogcím'!$1:$5</definedName>
    <definedName name="_xlnm.Print_Titles" localSheetId="4">'5.kiadás'!$1:$5</definedName>
    <definedName name="_xlnm.Print_Area" localSheetId="10">'11. Pénzmaradvány'!$A$1:$B$18</definedName>
    <definedName name="_xlnm.Print_Area" localSheetId="11">'12. Eredménykimutatás'!$A$1:$C$33</definedName>
    <definedName name="_xlnm.Print_Area" localSheetId="1">'2. Bevétel funkció'!$A$1:$I$145</definedName>
    <definedName name="_xlnm.Print_Area" localSheetId="2">'3.Bevétel jogcím'!$A$1:$J$86</definedName>
    <definedName name="_xlnm.Print_Area" localSheetId="4">'5.kiadás'!$A$1:$J$551</definedName>
  </definedNames>
  <calcPr fullCalcOnLoad="1"/>
</workbook>
</file>

<file path=xl/sharedStrings.xml><?xml version="1.0" encoding="utf-8"?>
<sst xmlns="http://schemas.openxmlformats.org/spreadsheetml/2006/main" count="1707" uniqueCount="633">
  <si>
    <t>RÉVFÜLÖP NAGYKÖZSÉG ÖNKORMÁNYZATA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</si>
  <si>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</si>
  <si>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</si>
  <si>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</si>
  <si>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</si>
  <si>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</si>
  <si>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</si>
  <si>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</si>
  <si>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</si>
  <si>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</si>
  <si>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</si>
  <si>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</si>
  <si>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</si>
  <si>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</si>
  <si>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</si>
  <si>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</si>
  <si>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</si>
  <si>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</si>
  <si>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</si>
  <si>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</si>
  <si>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</si>
  <si>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</si>
  <si>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</si>
  <si>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</si>
  <si>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</si>
  <si>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</si>
  <si>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</si>
  <si>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</si>
  <si>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</si>
  <si>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</si>
  <si>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</si>
  <si>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</si>
  <si>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</si>
  <si>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</si>
  <si>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</si>
  <si>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</si>
  <si>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</si>
  <si>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</si>
  <si>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</si>
  <si>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</si>
  <si>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</si>
  <si>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</si>
  <si>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</si>
  <si>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</si>
  <si>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</si>
  <si>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</si>
  <si>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</si>
  <si>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</si>
  <si>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B402</t>
  </si>
  <si>
    <t>Szolgáltatások ellenértéke Esküvői szolgáltatás</t>
  </si>
  <si>
    <t>B406</t>
  </si>
  <si>
    <t>Kiszámlázott áfa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</si>
  <si>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</si>
  <si>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</si>
  <si>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</si>
  <si>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</si>
  <si>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</si>
  <si>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</si>
  <si>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900020 Önkormányzatok funkcióira nem sorolható bevételei áll.kív.</t>
  </si>
  <si>
    <t>B34</t>
  </si>
  <si>
    <t>Vagyoni típusú adók</t>
  </si>
  <si>
    <t>B341</t>
  </si>
  <si>
    <t>Építményadó</t>
  </si>
  <si>
    <t>B344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</si>
  <si>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</si>
  <si>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</si>
  <si>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</si>
  <si>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</si>
  <si>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</si>
  <si>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</si>
  <si>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</si>
  <si>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</si>
  <si>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</si>
  <si>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</si>
  <si>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</si>
  <si>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</si>
  <si>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</si>
  <si>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</si>
  <si>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B3617</t>
  </si>
  <si>
    <t>Késedelmi pótlék</t>
  </si>
  <si>
    <t>013320 Köztemető fenntartás és működtetés</t>
  </si>
  <si>
    <t xml:space="preserve">Szolgáltatások ellenértéke </t>
  </si>
  <si>
    <t>013350   Az önkormányzati vagyonnal való gazdálkodással kapcsolatos feladatok</t>
  </si>
  <si>
    <t>Bérleti díj</t>
  </si>
  <si>
    <t>Lakbér</t>
  </si>
  <si>
    <t>B403</t>
  </si>
  <si>
    <t>Közvetített szolgáltatások ellenértéke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</si>
  <si>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</si>
  <si>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</si>
  <si>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</si>
  <si>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</si>
  <si>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</si>
  <si>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</si>
  <si>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</si>
  <si>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 xml:space="preserve">B114 </t>
  </si>
  <si>
    <t>Települési önkormányzatok kulturális feladatainak támogatása</t>
  </si>
  <si>
    <t>B115</t>
  </si>
  <si>
    <t>B116</t>
  </si>
  <si>
    <t>Elszámolásból származó bevételek</t>
  </si>
  <si>
    <t>018020    Központi költségvetési befizetések</t>
  </si>
  <si>
    <t>B814</t>
  </si>
  <si>
    <t>Államháztartáson belüli megelőlegezések</t>
  </si>
  <si>
    <t>018030    Támogatási célú finanszírozási műveletek</t>
  </si>
  <si>
    <t>Egyéb működési célú támogatások bevételei áh belülről</t>
  </si>
  <si>
    <t>Társult önk.támogatása óvodai neveléshez</t>
  </si>
  <si>
    <t>B81</t>
  </si>
  <si>
    <t>Belföldi finanszírozás bevételei</t>
  </si>
  <si>
    <t>B8131</t>
  </si>
  <si>
    <t>Előző év költségvetési maradványának igénybevétele</t>
  </si>
  <si>
    <t>041233   Hosszabb időtartamú közfoglalkoztatás</t>
  </si>
  <si>
    <t>047320   Turizmusfejlesztési támogatások és tevékenységek</t>
  </si>
  <si>
    <t>B401</t>
  </si>
  <si>
    <t>Készletértékesítés ellenértéke</t>
  </si>
  <si>
    <t>066020   Város és községgazdálkodási egyéb szolgáltatások</t>
  </si>
  <si>
    <t>072311    Fogorvosi alapellátás</t>
  </si>
  <si>
    <t>074031   Család és nővédelmi egészségügyi gondozás</t>
  </si>
  <si>
    <t>081061   Szabadidős park, fürdő és strandszolgáltatás</t>
  </si>
  <si>
    <t>Szolgáltatások ellenértéke</t>
  </si>
  <si>
    <t>082044   Könyvtári szolgáltatások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</si>
  <si>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</si>
  <si>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</si>
  <si>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</si>
  <si>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</si>
  <si>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</si>
  <si>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</si>
  <si>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</si>
  <si>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Üdülőhelyi feladatok,és lakott külterület támogatása</t>
  </si>
  <si>
    <t>Települési önkormányzatok egyes köznevelési feladatainak támogatása</t>
  </si>
  <si>
    <t>Működési célú központosított kiegészítő támogatása</t>
  </si>
  <si>
    <t>Hosszabb időtartamú közfoglalkoztatás támogatása</t>
  </si>
  <si>
    <t xml:space="preserve">     Önkormányzatok támogatása óvodai ellátáshoz</t>
  </si>
  <si>
    <t>Egyéb felhalmozási célú támogatások</t>
  </si>
  <si>
    <t>B361</t>
  </si>
  <si>
    <t>Közvetített szolgáltatások ellenértéke (Továbbszámlázott)</t>
  </si>
  <si>
    <t>Készletértékesítés ellenértéke (Tourinform)</t>
  </si>
  <si>
    <t>Működési célú kölcsönök visszatérülése (Helyi támogatás törlesztése)</t>
  </si>
  <si>
    <t>B8141</t>
  </si>
  <si>
    <t>Államháztartáson belüli megelőlegezések visszafizetése</t>
  </si>
  <si>
    <t>feladatonként</t>
  </si>
  <si>
    <t xml:space="preserve">          Ft</t>
  </si>
  <si>
    <t>Előirányzat</t>
  </si>
  <si>
    <t>Kötelező feladatok</t>
  </si>
  <si>
    <t>Önként vállalt feladatok</t>
  </si>
  <si>
    <t>Állam igazgatási feladatok</t>
  </si>
  <si>
    <t>Összesen</t>
  </si>
  <si>
    <t>011130   Önkormányzatok és önk hiv jogalkotó és ált ig tev.</t>
  </si>
  <si>
    <t>900020   Önkormányzatok funkcióira nem sorolható bev.</t>
  </si>
  <si>
    <t>013320   Köztemető fenntartása és működtetése</t>
  </si>
  <si>
    <t>013350   Az önkormányzati vagyonnal v. gazd. kapcs fel.</t>
  </si>
  <si>
    <t>018010   Önkormányzatok elszám. a közp  költségvetéssel</t>
  </si>
  <si>
    <t>018020   Központi költségvetési befizetések</t>
  </si>
  <si>
    <t>018030   Támogatási célú finanszírozási műveletek</t>
  </si>
  <si>
    <t>041233    Hosszabb időtartamú közfoglalkoztatás</t>
  </si>
  <si>
    <t>082092   Közművelődés</t>
  </si>
  <si>
    <t xml:space="preserve"> Ft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</si>
  <si>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</si>
  <si>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</si>
  <si>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</si>
  <si>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</si>
  <si>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</si>
  <si>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</si>
  <si>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</si>
  <si>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</si>
  <si>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</si>
  <si>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</si>
  <si>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</si>
  <si>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</si>
  <si>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</si>
  <si>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</si>
  <si>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</si>
  <si>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Polgármester jutalma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</si>
  <si>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</si>
  <si>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</si>
  <si>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</si>
  <si>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</si>
  <si>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</si>
  <si>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</si>
  <si>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</si>
  <si>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</si>
  <si>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</si>
  <si>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</si>
  <si>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</si>
  <si>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</si>
  <si>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</si>
  <si>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beszerzése</t>
  </si>
  <si>
    <t>Egyéb anyagbeszerzés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</si>
  <si>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</si>
  <si>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</si>
  <si>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</si>
  <si>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</si>
  <si>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</si>
  <si>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</si>
  <si>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</si>
  <si>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</si>
  <si>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</si>
  <si>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</si>
  <si>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</si>
  <si>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</si>
  <si>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</si>
  <si>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</si>
  <si>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</si>
  <si>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</si>
  <si>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K34</t>
  </si>
  <si>
    <t>Kiküldetések,reklám és propagandakiadások</t>
  </si>
  <si>
    <t>K341</t>
  </si>
  <si>
    <t>Kiküldetés kiadásai</t>
  </si>
  <si>
    <t>K35</t>
  </si>
  <si>
    <t>Különféle befizetések és egyéb dologi kiadások</t>
  </si>
  <si>
    <t>K351</t>
  </si>
  <si>
    <t>Működési célú előzetesen felszámított áfa</t>
  </si>
  <si>
    <t>K353</t>
  </si>
  <si>
    <t>ÁH-n belüli kamatkiadások</t>
  </si>
  <si>
    <t>K506</t>
  </si>
  <si>
    <t>Egyéb működési célú támogatások államháztartáson belülre</t>
  </si>
  <si>
    <t>K512</t>
  </si>
  <si>
    <t>Egyéb működési célú támogatások államháztartáson kívülre</t>
  </si>
  <si>
    <t>K513</t>
  </si>
  <si>
    <t>Tartalékok</t>
  </si>
  <si>
    <t>K65</t>
  </si>
  <si>
    <t>Elmib részvény vásárlás</t>
  </si>
  <si>
    <t>018020  Központi költségvetési befizetések</t>
  </si>
  <si>
    <t>K914</t>
  </si>
  <si>
    <t>Előző évi támogatás megelőlegezés visszatérítése</t>
  </si>
  <si>
    <t>Államháztartáson belüli megelőlegezések  visszafizetése</t>
  </si>
  <si>
    <t>018030 Támogatási célú finanszírozási műveletek</t>
  </si>
  <si>
    <t>Állami támogatás</t>
  </si>
  <si>
    <t>Társult önkormányzatok támogatása</t>
  </si>
  <si>
    <t>Révfülöp önkormányzat támogatása</t>
  </si>
  <si>
    <t>Bölcsődei ellátás támogatása ( Zánka)</t>
  </si>
  <si>
    <t>013320    Köztemető fenntartása és működtetése</t>
  </si>
  <si>
    <t>K1113</t>
  </si>
  <si>
    <t>Bérleti és lizing díjak</t>
  </si>
  <si>
    <t>K335</t>
  </si>
  <si>
    <t>Közvetített szolgáltatások</t>
  </si>
  <si>
    <t>K352</t>
  </si>
  <si>
    <t>Fizetendő áfa</t>
  </si>
  <si>
    <t>K62</t>
  </si>
  <si>
    <t>K67</t>
  </si>
  <si>
    <t>Beruházási célú előzetesen felszámított Áfa</t>
  </si>
  <si>
    <t>031060 Bűnmegelőzés</t>
  </si>
  <si>
    <t>Polgárőr Egyesület támogatása</t>
  </si>
  <si>
    <t>032020 Tűz- és katasztrófavédelmi tevékenységek</t>
  </si>
  <si>
    <t>K1104</t>
  </si>
  <si>
    <t>Túlmunkadíj</t>
  </si>
  <si>
    <t>K21</t>
  </si>
  <si>
    <t xml:space="preserve">Szociális hozzájárulási adó </t>
  </si>
  <si>
    <t>045160   Közutak, hidak,alagútak üzemeltetése, fenntartása</t>
  </si>
  <si>
    <t>K71</t>
  </si>
  <si>
    <t>Ingatlanok felújítása</t>
  </si>
  <si>
    <t>K74</t>
  </si>
  <si>
    <t>Felújítási célú előzetesen felszámított Áfa</t>
  </si>
  <si>
    <t>K313</t>
  </si>
  <si>
    <t>Árubeszerzés</t>
  </si>
  <si>
    <t>K342</t>
  </si>
  <si>
    <t>Reklám és propaganda kiadások</t>
  </si>
  <si>
    <t>061030  Lakáshoz jutást segítő támogatások</t>
  </si>
  <si>
    <t>K89</t>
  </si>
  <si>
    <t>Egyéb felhalmozási c.támogatások áll.h.kívűlre-háztartásoknal</t>
  </si>
  <si>
    <t>064010   Közvilágítás</t>
  </si>
  <si>
    <t>066010   Zöldterület kezelés</t>
  </si>
  <si>
    <t>K1109</t>
  </si>
  <si>
    <t>Közlekedési költségtérítés</t>
  </si>
  <si>
    <t>K122</t>
  </si>
  <si>
    <t>Egyéb jogviszonyban foglalkoztatottaknak fizetett juttatások</t>
  </si>
  <si>
    <t>K27</t>
  </si>
  <si>
    <t>072111   Háziorvosi alapellátás</t>
  </si>
  <si>
    <t>072112   Háziorvosi ügyeleti ellátás</t>
  </si>
  <si>
    <t>K1110</t>
  </si>
  <si>
    <t>Egyéb költségtérítések</t>
  </si>
  <si>
    <t>Külső személyi juttatás</t>
  </si>
  <si>
    <t>Munkavégzésre i.egyéb jogviszonyban foglalkoztat. fizetett jutt.</t>
  </si>
  <si>
    <t>081030  Sportlétesítmények működtetése</t>
  </si>
  <si>
    <t>081041    Versenysport és utánpótlás nevelési tevékenység és támogatása</t>
  </si>
  <si>
    <t>082042   Könyvtári állomány gyarapítása</t>
  </si>
  <si>
    <t>Kiküldetési kiadások</t>
  </si>
  <si>
    <t>086030 Nemzetközi kulturális együttműködés</t>
  </si>
  <si>
    <t>Testvér városi-települési kiadások</t>
  </si>
  <si>
    <t>Finn Baráti Társaság, Román testvér település támogatása</t>
  </si>
  <si>
    <t>Ellátottak juttatásai</t>
  </si>
  <si>
    <t>107052   Házi segítségnyújtás</t>
  </si>
  <si>
    <t>107060   Egyéb szociális pénzbeli és természetbeni ellátások, támogatások</t>
  </si>
  <si>
    <t>K48</t>
  </si>
  <si>
    <t>Önkormányzat által saját hatáskörben nyújtott pénzügyi ellátás</t>
  </si>
  <si>
    <t>Települési támogatás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</si>
  <si>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</si>
  <si>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</si>
  <si>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</si>
  <si>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</si>
  <si>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018010  Önkormányzatok elszámolás a központi költségvetéssel</t>
  </si>
  <si>
    <t>018030  Támogatási célú finanszírozási műveletek</t>
  </si>
  <si>
    <t>013350   Az önkormányzati vagyonnal való gazdálkodással kapcs feladatok</t>
  </si>
  <si>
    <t>031060    Bűnmegelőlegezés</t>
  </si>
  <si>
    <t>032020   Tűz-és katasztrófavédelmi tevékenység</t>
  </si>
  <si>
    <t>061030    Lakáshoz jutást segítő támogatások</t>
  </si>
  <si>
    <t>081030   Sportlétesítmények működtetése</t>
  </si>
  <si>
    <t>081041   Versenysport és utánpótlás nevelési tevékenység és támogatása</t>
  </si>
  <si>
    <t>086030  Nemzetközi kultúrális együttműködés</t>
  </si>
  <si>
    <t>104051   Gyermekvédelmi pénzbeni és természetbeni ellátások</t>
  </si>
  <si>
    <t>106020 Lakásfenntartással, lakhatással összefüggő ellátások</t>
  </si>
  <si>
    <t>107051   Szociális étkeztetés</t>
  </si>
  <si>
    <t>Ft</t>
  </si>
  <si>
    <t xml:space="preserve">Kiemelt előirányzat </t>
  </si>
  <si>
    <t>Beruházás nettó összesen</t>
  </si>
  <si>
    <t>Beruházás  Áfa</t>
  </si>
  <si>
    <t>Beruházás Bruttó összesen</t>
  </si>
  <si>
    <t xml:space="preserve">Beruházások összesen              K6 össz.       </t>
  </si>
  <si>
    <t>Felújítások Nettó összesen:</t>
  </si>
  <si>
    <t>Felújítások Áfája</t>
  </si>
  <si>
    <t>Felújítások összesen                K7 össz.</t>
  </si>
  <si>
    <t>Felhalmozási kiadások összesen           (K6+K7 )</t>
  </si>
  <si>
    <t>Felhalmozási kiadások összesen     Bruttó</t>
  </si>
  <si>
    <t>Tájékoztató adatok a MŰKÖDÉSI bevételek és kiadások alakulásáról</t>
  </si>
  <si>
    <t>2018.év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</si>
  <si>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</si>
  <si>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</si>
  <si>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</si>
  <si>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</si>
  <si>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</si>
  <si>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</si>
  <si>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Tájékoztató adatok a FELHALMOZÁSI bevételek és kiadások alakulásáról</t>
  </si>
  <si>
    <t>Felhalmozási célú támogatások államh belülről</t>
  </si>
  <si>
    <t>Felhalmozási célú bevételek összesen</t>
  </si>
  <si>
    <t>Felhalmozási célú kiadások összesen</t>
  </si>
  <si>
    <t>Civil szervezetek támogatása</t>
  </si>
  <si>
    <t>Temetési szolgáltatás</t>
  </si>
  <si>
    <t>Esküvői szolgáltatás</t>
  </si>
  <si>
    <t>Strand bevétel</t>
  </si>
  <si>
    <t>Könyvtári szolgáltatás</t>
  </si>
  <si>
    <t>Bérleti díj - piac</t>
  </si>
  <si>
    <t>047120 Piac üzemeltetése</t>
  </si>
  <si>
    <t>Informatikai szolgáltatások igénybevétele (internet díj, honlap)</t>
  </si>
  <si>
    <t>Egyéb kommunikációs szolgáltatások (telefondíj)</t>
  </si>
  <si>
    <t>K1102</t>
  </si>
  <si>
    <t>082061   Múzeumi gyűjteményi tevékenység</t>
  </si>
  <si>
    <t>082063   Múzeumi kiállítási tevékenység</t>
  </si>
  <si>
    <t xml:space="preserve">Bursa Hungarica támogatás </t>
  </si>
  <si>
    <t>Normatív jutalom</t>
  </si>
  <si>
    <t>047120 Piac üzemeltetés</t>
  </si>
  <si>
    <t>ELMIB részvény vásárlás(önkorm.igazgatás)</t>
  </si>
  <si>
    <t>Egyéb tárgyi eszközök beszerzése</t>
  </si>
  <si>
    <t>K64</t>
  </si>
  <si>
    <t>047120   Piac üzemeltetés, fenntartás</t>
  </si>
  <si>
    <t>047120    Piac üzemeltetése, fenntartása</t>
  </si>
  <si>
    <t>Jutalom</t>
  </si>
  <si>
    <t>Teljesítés  2018.év</t>
  </si>
  <si>
    <t>Teljesítés   2019.év</t>
  </si>
  <si>
    <t>NEAK támogatás</t>
  </si>
  <si>
    <t xml:space="preserve">      NEAK támogatás védőnői szolgálat működéséhez</t>
  </si>
  <si>
    <t>Egészségház felújítás</t>
  </si>
  <si>
    <t>Temető urnafal építése</t>
  </si>
  <si>
    <t>Teljesítés 2018.év</t>
  </si>
  <si>
    <t>Teljesítés     2019.év</t>
  </si>
  <si>
    <t>Egyéb működési célú támogatás Önkormányzatnak</t>
  </si>
  <si>
    <t>Támogatás célú működési kiadás Közös Hivatalhoz</t>
  </si>
  <si>
    <t>Működési célú pénzeszköz átadás Tapolca Társulás</t>
  </si>
  <si>
    <t>Működési célú pénzeszköz átadás ,óvodai-iskolai busz bejárás támogatás</t>
  </si>
  <si>
    <t>Révfülöpi Óvoda Társulás támogatása</t>
  </si>
  <si>
    <t>K1103</t>
  </si>
  <si>
    <t>Túlóra</t>
  </si>
  <si>
    <t>062020 Településfejlesztési projektek és támogatásuk</t>
  </si>
  <si>
    <t>Egyéb tárgyi eszközök beszerzése (Óvoda udvar )</t>
  </si>
  <si>
    <t>Óvoda udvar eszközbeszerzés</t>
  </si>
  <si>
    <t>Ingatlan beszerzése, létesítése (temető urnafal )</t>
  </si>
  <si>
    <t>Üzemeltetési anyagok</t>
  </si>
  <si>
    <t xml:space="preserve">Egyéb működési célú támogatások </t>
  </si>
  <si>
    <t>Háziorvos támogatás (praxisjog vásárlás)</t>
  </si>
  <si>
    <t>K892</t>
  </si>
  <si>
    <t>Egyéb felhalmozási célú kiadások államháztartáson kívülre</t>
  </si>
  <si>
    <t>Gépjármű vásárlás (háziorvos)</t>
  </si>
  <si>
    <t>K1106</t>
  </si>
  <si>
    <t>Jubileumi jutalom</t>
  </si>
  <si>
    <t xml:space="preserve">Foglalkoztatottak személyi juttatása </t>
  </si>
  <si>
    <t xml:space="preserve">Ingatlanok beszerzése, létesítése  </t>
  </si>
  <si>
    <t>Ingatlanok felújítása (Egészségház)</t>
  </si>
  <si>
    <t>062020    Területfejlesztési projektek és támogatások</t>
  </si>
  <si>
    <t>Ingatlanok felújítása (strandhomokozás)</t>
  </si>
  <si>
    <t>Ingatlan beruházások (strand pályázat)</t>
  </si>
  <si>
    <t>B407</t>
  </si>
  <si>
    <t>B75</t>
  </si>
  <si>
    <t>Egyéb felhalmozási célú átvett pénzeszközök</t>
  </si>
  <si>
    <t>Általános forgalmi adó visszatérítése</t>
  </si>
  <si>
    <t>Ingatlanok felújítása (óvoda szoba parkettázás, kazáncsere)</t>
  </si>
  <si>
    <t>042120 Mezőgazdasági támogatások</t>
  </si>
  <si>
    <t>Zártkerti pályázat</t>
  </si>
  <si>
    <t>042120    Mezőgazdasági támogatások</t>
  </si>
  <si>
    <t>Ingatlanok felújítása (zártkerti pályázat)</t>
  </si>
  <si>
    <t>042120   Mezőgazdasági támogatások</t>
  </si>
  <si>
    <t>Informatikai eszköz beszerzés (igazgatás)</t>
  </si>
  <si>
    <t>Önkormányzati ingatlanok felújítása (Zártkerti pályázat - utak)</t>
  </si>
  <si>
    <t>Strand fejlesztés (homokozás,öntözőrendszer kialakítása, térkövezés, tereprendezés)</t>
  </si>
  <si>
    <t>Módosított előirányzat</t>
  </si>
  <si>
    <t>Módosított  előirányzat</t>
  </si>
  <si>
    <t>066020 Város és községgazdálkodás</t>
  </si>
  <si>
    <t>074040 Fertőző megbetegedések megelőzése, járványügyi ellátása</t>
  </si>
  <si>
    <t>Észak-Balatoni Térség Regionális Települési Szilárdhulladék-Kezelési Önkormányzati Társulás</t>
  </si>
  <si>
    <t>B25</t>
  </si>
  <si>
    <t>Felhalmozási célú bevételek</t>
  </si>
  <si>
    <t>B410</t>
  </si>
  <si>
    <t>Biztosító által fizetett kártérítés</t>
  </si>
  <si>
    <t>B65</t>
  </si>
  <si>
    <t>Egyéb működési célú átvett pénzeszköz</t>
  </si>
  <si>
    <t>Ingatlanok felújítása (Kilátó)</t>
  </si>
  <si>
    <t>Önkormányzati ingatlanok felújítása (Kilátó)</t>
  </si>
  <si>
    <t>K84</t>
  </si>
  <si>
    <t>Egyéb felhalmozási kiadások (Tapolca Társulás aszfaltozás)</t>
  </si>
  <si>
    <t>Bursa Ösztöndíj támogatás</t>
  </si>
  <si>
    <t xml:space="preserve">Egyéb működési célú támogatás áh belülre </t>
  </si>
  <si>
    <t>018010  Önkormányzatok elszámolásai központi költsgévetéssel</t>
  </si>
  <si>
    <t>K5021</t>
  </si>
  <si>
    <t>Helyi önkormányzatok előző évi elszámolásából származó kiadások</t>
  </si>
  <si>
    <t>B1131</t>
  </si>
  <si>
    <t>B1132</t>
  </si>
  <si>
    <t>Települési önk szociális és gyermekj. feladatainak támogatása</t>
  </si>
  <si>
    <t>Települési önk. Gyermekétkeztetés feladatainak támogatása</t>
  </si>
  <si>
    <t>Egyéb önkormányzati feladatok támogatása</t>
  </si>
  <si>
    <t xml:space="preserve">Települési önk szociális és gyermekjóléti feladat. </t>
  </si>
  <si>
    <t>Települési önk gyermekétkeztetési feladatainak támogatása</t>
  </si>
  <si>
    <t>074040   Fertőző megbetegedések megelőzése, járványügyi ellátás</t>
  </si>
  <si>
    <t>2020. évi költségvetés módosított bevételei</t>
  </si>
  <si>
    <t xml:space="preserve">2020. évi költségvetés módosított összevont mérlege </t>
  </si>
  <si>
    <t>Fejezet kezelésű előirányzattól (Magyar Faluprogram Lugas köz felújítás)</t>
  </si>
  <si>
    <t>Ingatlanok felújítása (Lugas köz)</t>
  </si>
  <si>
    <t>B411</t>
  </si>
  <si>
    <t>Egyéb működési bevételek</t>
  </si>
  <si>
    <t>Egyéb személyi juttatás (betegszabadság)</t>
  </si>
  <si>
    <t>Egyéb tárgyi eszközök beszerzése (Szivattyú, Jelzőtáblák, Asztal paddal)</t>
  </si>
  <si>
    <t>Informatikai szolgáltatások</t>
  </si>
  <si>
    <t>Települési önkormányzatok kiegészítő támogatása</t>
  </si>
  <si>
    <t>062020   Településfejlesztési projektek és támogatásuk</t>
  </si>
  <si>
    <t>Fogorvos sterilizáló készülék</t>
  </si>
  <si>
    <t>Szivattyú, jelzőtáblák beszerzése</t>
  </si>
  <si>
    <t xml:space="preserve">Eszköz beszerzés strand </t>
  </si>
  <si>
    <t>Önkormányzati ingatlanok felújítása (Lugas köz)</t>
  </si>
  <si>
    <t>Lakossági víz pályázat átadás DRV-nek</t>
  </si>
  <si>
    <t>K63</t>
  </si>
  <si>
    <t>Informatikai eszközök beszerzése</t>
  </si>
  <si>
    <t>Fejezet kezelésű előirányzattól (Magyar Faluprogram Tornaszoba kialakítás)</t>
  </si>
  <si>
    <t>B251</t>
  </si>
  <si>
    <t>Fejezet kezelésű előirányzattól (Magyar Faluprogram Tornaszoba)</t>
  </si>
  <si>
    <t>Eszköz beszerzés közművelődés</t>
  </si>
  <si>
    <t>Eszköz beszerzés hivatal</t>
  </si>
  <si>
    <t>1. melléklet a ../2021.(..) önkormányzati rendelethez</t>
  </si>
  <si>
    <t>2. melléklet a ../2021 .(..) önkormányzati rendelethez</t>
  </si>
  <si>
    <t>3. melléklet a ../2021. (..) önkormányzati rendelethez</t>
  </si>
  <si>
    <t>Képújság</t>
  </si>
  <si>
    <t>4. melléklet a ../2021.(..) önkormányzati rendelethez</t>
  </si>
  <si>
    <t>Felújítás</t>
  </si>
  <si>
    <t>Ingatlan feljújítás</t>
  </si>
  <si>
    <t>Bérelti lízing díj</t>
  </si>
  <si>
    <t>K61</t>
  </si>
  <si>
    <t>Ingatlan felújítás</t>
  </si>
  <si>
    <t>Bérleti lízing díj</t>
  </si>
  <si>
    <t>K355</t>
  </si>
  <si>
    <t>Egyéb dologi kiadások</t>
  </si>
  <si>
    <t>5. melléklet a ../2021.(..)önkormányzati rendeletehez</t>
  </si>
  <si>
    <t>6. melléklet  a ../2021.(..) önkormányzati rendelethez</t>
  </si>
  <si>
    <t>7.melléklet a .../2021.(...)önkormányzati rendelethez</t>
  </si>
  <si>
    <t>Önkormányzati ingatlanok felújítása (óvoda szoba parkettázás, kazáncsere, hivatal radiátorcsere)</t>
  </si>
  <si>
    <t>Felújítási célú előzetesen felszámított áfa</t>
  </si>
  <si>
    <t>Sportpálya világítás</t>
  </si>
  <si>
    <t>8. melléklet a ../2021.(..) önkormányzati rendelethez</t>
  </si>
  <si>
    <t>9. melléklet a ../2021.(..) önkormányzati rendelethez</t>
  </si>
  <si>
    <t>ebből tartalék  99.654.941</t>
  </si>
  <si>
    <t>2020. évi költségvetés bevételei</t>
  </si>
  <si>
    <t>Teljesítés 12.31.</t>
  </si>
  <si>
    <t>%</t>
  </si>
  <si>
    <t>2020. évi költségvetés   bevételei</t>
  </si>
  <si>
    <t xml:space="preserve">2020. évi költségvetés kiadásai </t>
  </si>
  <si>
    <t>Működési célú pénzeszköz átadás Házasságkötések</t>
  </si>
  <si>
    <t>K22</t>
  </si>
  <si>
    <t xml:space="preserve">Táppénz hozzájárulási adó </t>
  </si>
  <si>
    <t>Táppénz hozzájárulási adó</t>
  </si>
  <si>
    <t>Táppénz hozzájárulás</t>
  </si>
  <si>
    <t xml:space="preserve">Közüzemi díjakKarbantartási , kisjavítási szolgáltatások </t>
  </si>
  <si>
    <t>2020. évi költségvetés kiadásai</t>
  </si>
  <si>
    <t xml:space="preserve">2020.évi költségvetés  felhalmozási kiadásai </t>
  </si>
  <si>
    <t>Teljesítés        2020. év</t>
  </si>
  <si>
    <t>Teljesítés     2020.év</t>
  </si>
  <si>
    <t>Vagyonkimutatás</t>
  </si>
  <si>
    <t>Révfülöp Nagyközség Önkormányzata</t>
  </si>
  <si>
    <t>Pénzmaradvány kimutatás</t>
  </si>
  <si>
    <t>Összeg</t>
  </si>
  <si>
    <t>Eredmény kimutatás</t>
  </si>
  <si>
    <t>Nyitó</t>
  </si>
  <si>
    <t>Záró</t>
  </si>
  <si>
    <t xml:space="preserve"> Adatszolgáltatás a személyi juttatások és a foglalkoztatottak, választott tisztségviselők összetételéréről</t>
  </si>
  <si>
    <t>Sorszám</t>
  </si>
  <si>
    <t xml:space="preserve">Létszám* fő </t>
  </si>
  <si>
    <t>Normatív jutalmak, céljuttatás, projekt-prémium</t>
  </si>
  <si>
    <t>Készenléti, ügyeleti, helyettesí-tési díj, túlóra</t>
  </si>
  <si>
    <t>Végkielégítés, jubileumi jutalom</t>
  </si>
  <si>
    <t>Költségtérítések</t>
  </si>
  <si>
    <t>Támogatások</t>
  </si>
  <si>
    <t>Foglalkoztatottak egyéb személyi juttatásai</t>
  </si>
  <si>
    <t xml:space="preserve">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</si>
  <si>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</si>
  <si>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</si>
  <si>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</si>
  <si>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</si>
  <si>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</si>
  <si>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</si>
  <si>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</si>
  <si>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11.melléklet a …/2021.(…)önkormányzati rendelethez</t>
  </si>
  <si>
    <t>2020. év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</si>
  <si>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</si>
  <si>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</si>
  <si>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</si>
  <si>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</si>
  <si>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</si>
  <si>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</si>
  <si>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</si>
  <si>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</si>
  <si>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</si>
  <si>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12. melléklet a …./2021.(…)önkormányzati rendelethez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</si>
  <si>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</si>
  <si>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</si>
  <si>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</si>
  <si>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</si>
  <si>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</si>
  <si>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</si>
  <si>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</si>
  <si>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</si>
  <si>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</si>
  <si>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</si>
  <si>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</si>
  <si>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</si>
  <si>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</si>
  <si>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</si>
  <si>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</si>
  <si>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</si>
  <si>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</si>
  <si>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</si>
  <si>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</si>
  <si>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</si>
  <si>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</si>
  <si>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</si>
  <si>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</si>
  <si>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</si>
  <si>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</si>
  <si>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</si>
  <si>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"A", "B" fizetési  osztály összesen</t>
  </si>
  <si>
    <t>"E"-"J"  fizetési  osztály  összesen</t>
  </si>
  <si>
    <t>KÖZALKALMAZOTTAK ÖSSZESEN (=27+...+39)</t>
  </si>
  <si>
    <t>fizikai alkalmazott, a költségvetési szerveknél foglalkoztatott egyéb munkavállaló  (fizikai alkalmazott)</t>
  </si>
  <si>
    <t>közfoglalkoztatott</t>
  </si>
  <si>
    <t>EGYÉB FOGLALKOZTATOTTAK  ÖSSZESEN (=74+…+80)</t>
  </si>
  <si>
    <t>polgármester, főpolgármester</t>
  </si>
  <si>
    <t>helyi önkormányzati képviselő-testület tagja, megyei közgyűlés tagja</t>
  </si>
  <si>
    <t>alpolgármester, főpolgármester-helyettes,  megyei közgyűlés elnöke, alelnöke</t>
  </si>
  <si>
    <t>VÁLASZTOTT TISZTSÉGVISELŐK ÖSSZESEN (=82+...+92)</t>
  </si>
  <si>
    <t>FOGLALKOZTATOTTAK ÖSSZESEN (=26+40+51+57+62+67+73+81+93)</t>
  </si>
  <si>
    <t>13. melléklet a …./2021.(…)önkormányzati rendelethez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</si>
  <si>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</si>
  <si>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</si>
  <si>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</si>
  <si>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</si>
  <si>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</si>
  <si>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</si>
  <si>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</si>
  <si>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</si>
  <si>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</si>
  <si>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</si>
  <si>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</si>
  <si>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 melléklet a ../2021.(..) önkormányzati rendelethez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</si>
  <si>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</si>
  <si>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</si>
  <si>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</si>
  <si>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</si>
  <si>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</si>
  <si>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</si>
  <si>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Értékesítés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</si>
  <si>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</si>
  <si>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</si>
  <si>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</si>
  <si>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</si>
  <si>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</si>
  <si>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</si>
  <si>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</si>
  <si>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</si>
  <si>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</si>
  <si>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12.</t>
  </si>
  <si>
    <t>13.</t>
  </si>
  <si>
    <t>14.</t>
  </si>
  <si>
    <t>15.</t>
  </si>
  <si>
    <t>16.</t>
  </si>
  <si>
    <t>2020. december 31</t>
  </si>
  <si>
    <t>10. melléklet a ../2021.(..) önkormányzati rendelethez</t>
  </si>
  <si>
    <t>Bruttó érték</t>
  </si>
  <si>
    <t>Nettó érték</t>
  </si>
  <si>
    <t>Szellemi termékek</t>
  </si>
  <si>
    <t xml:space="preserve">I. Immateriális javak </t>
  </si>
  <si>
    <t xml:space="preserve">II. Tárgyi eszközök  </t>
  </si>
  <si>
    <t>1. Ingatlanok és a kapcsolódó vagyoni értékű jogok</t>
  </si>
  <si>
    <t>Törzsvagyon</t>
  </si>
  <si>
    <t>Forgalomképtelen</t>
  </si>
  <si>
    <t>Korlátozottan forgalomképes</t>
  </si>
  <si>
    <t>Üzleti vagyon</t>
  </si>
  <si>
    <t>2. Gépek, berendezések, felszerelések, járművek</t>
  </si>
  <si>
    <t>3. Tenyészállatok</t>
  </si>
  <si>
    <t>4. Beruházások, felújítások</t>
  </si>
  <si>
    <t xml:space="preserve">III. Befektetett pénzügyi eszközök </t>
  </si>
  <si>
    <t xml:space="preserve">1. Tartós részesedések </t>
  </si>
  <si>
    <t>2. Tartós hitelviszonyt megtestesítő értékpapír</t>
  </si>
  <si>
    <t>6. Befektetett pénzügyi eszközök értékhelyesbítése</t>
  </si>
  <si>
    <t xml:space="preserve">A) NEMZETI VAGYONBA TARTOZÓ BEFEKTETETT ESZKÖZÖK </t>
  </si>
  <si>
    <t xml:space="preserve">I. Készletek </t>
  </si>
  <si>
    <t>II. Értékpapírok</t>
  </si>
  <si>
    <t>IV. Koncesszióba, vagyonkezelésbe adott eszközök</t>
  </si>
  <si>
    <t xml:space="preserve">B) NEMZETI VAGYONBA TARTOZÓ FORGÓESZKÖZÖK </t>
  </si>
  <si>
    <t xml:space="preserve">C) PÉNZESZKÖZÖK </t>
  </si>
  <si>
    <t xml:space="preserve">I. Költségvetési évben esedékes követelések </t>
  </si>
  <si>
    <t xml:space="preserve">II. Költségvetési évet követően esedékes követelések </t>
  </si>
  <si>
    <t xml:space="preserve">III. Követelés jellegű sajátos elszámolások </t>
  </si>
  <si>
    <t xml:space="preserve">D) KÖVETELÉSEK  </t>
  </si>
  <si>
    <t xml:space="preserve">ESZKÖZÖK ÖSSZESEN </t>
  </si>
  <si>
    <t>I  Nemzeti vagyon induláskori értéke</t>
  </si>
  <si>
    <t>II. Nemzeti vagyon változásai</t>
  </si>
  <si>
    <t>III. Egyéb eszközök induláskori értéke és változásai</t>
  </si>
  <si>
    <t>IV. Felhalmozott eredmény</t>
  </si>
  <si>
    <t>VI. Mérleg szerinti eredmény</t>
  </si>
  <si>
    <t xml:space="preserve">G/ SAJÁT TŐKE 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</si>
  <si>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</si>
  <si>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</si>
  <si>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</si>
  <si>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H) KÖTELEZETTSÉGEK </t>
  </si>
  <si>
    <t xml:space="preserve">J) PASSZÍV IDŐBELI ELHATÁROLÁSOK </t>
  </si>
  <si>
    <t>I) EGYÉB SAJÁTOS FORRÁSOLDALI</t>
  </si>
  <si>
    <t>I. Eredményszemléletű bevételek passzív időbeli elhatárolása</t>
  </si>
  <si>
    <t>II. Költségek, ráfordítások passzív időbeli elhatárolása</t>
  </si>
  <si>
    <t>III. Halsztott eredményszemléletű bevételek</t>
  </si>
  <si>
    <t xml:space="preserve">FORRÁSOK ÖSSZESEN </t>
  </si>
  <si>
    <t>E) EGYÉB SAJÁTOS ESZKÖZOLDALI</t>
  </si>
  <si>
    <t>F) AKTÍV IDŐBELI ELHATÁROLÁSOK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</si>
</sst>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#,##0.0"/>
    <numFmt numFmtId="168" formatCode="0.0%"/>
    <numFmt numFmtId="169" formatCode="0.000%"/>
    <numFmt numFmtId="170" formatCode="_-* #,##0.0\ _F_t_-;\-* #,##0.0\ _F_t_-;_-* &quot;-&quot;??\ _F_t_-;_-@_-"/>
    <numFmt numFmtId="171" formatCode="_-* #,##0\ _F_t_-;\-* #,##0\ _F_t_-;_-* &quot;-&quot;??\ _F_t_-;_-@_-"/>
    <numFmt numFmtId="172" formatCode="[$-40E]yyyy\.\ mmmm\ d\.\,\ dddd"/>
    <numFmt numFmtId="173" formatCode="_-* #,##0.000\ _F_t_-;\-* #,##0.000\ _F_t_-;_-* &quot;-&quot;??\ _F_t_-;_-@_-"/>
    <numFmt numFmtId="174" formatCode="_-* #,##0.0000\ _F_t_-;\-* #,##0.0000\ _F_t_-;_-* &quot;-&quot;??\ _F_t_-;_-@_-"/>
  </numFmts>
  <fonts count="46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/>
      <right style="thin">
        <color indexed="59"/>
      </right>
      <top>
        <color indexed="63"/>
      </top>
      <bottom style="thin">
        <color indexed="59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/>
      <right>
        <color indexed="63"/>
      </right>
      <top style="medium"/>
      <bottom style="thin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5" fillId="33" borderId="11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2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" fillId="0" borderId="12" xfId="0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35" borderId="12" xfId="0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3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49" fontId="4" fillId="33" borderId="17" xfId="0" applyNumberFormat="1" applyFont="1" applyFill="1" applyBorder="1" applyAlignment="1">
      <alignment horizontal="left"/>
    </xf>
    <xf numFmtId="3" fontId="4" fillId="33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3" fontId="5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3" fontId="8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3" fontId="5" fillId="36" borderId="17" xfId="0" applyNumberFormat="1" applyFont="1" applyFill="1" applyBorder="1" applyAlignment="1">
      <alignment/>
    </xf>
    <xf numFmtId="166" fontId="4" fillId="0" borderId="17" xfId="0" applyNumberFormat="1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3" fontId="4" fillId="36" borderId="17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33" borderId="17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3" fontId="1" fillId="36" borderId="17" xfId="0" applyNumberFormat="1" applyFont="1" applyFill="1" applyBorder="1" applyAlignment="1">
      <alignment horizontal="right" wrapText="1"/>
    </xf>
    <xf numFmtId="3" fontId="1" fillId="0" borderId="17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66" fontId="5" fillId="0" borderId="17" xfId="0" applyNumberFormat="1" applyFont="1" applyFill="1" applyBorder="1" applyAlignment="1">
      <alignment horizontal="left"/>
    </xf>
    <xf numFmtId="166" fontId="4" fillId="0" borderId="17" xfId="0" applyNumberFormat="1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3" fontId="3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5" fillId="36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left"/>
    </xf>
    <xf numFmtId="3" fontId="1" fillId="0" borderId="13" xfId="54" applyNumberFormat="1" applyFont="1" applyBorder="1">
      <alignment/>
      <protection/>
    </xf>
    <xf numFmtId="3" fontId="3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37" borderId="11" xfId="0" applyFont="1" applyFill="1" applyBorder="1" applyAlignment="1">
      <alignment/>
    </xf>
    <xf numFmtId="0" fontId="1" fillId="38" borderId="0" xfId="0" applyFont="1" applyFill="1" applyAlignment="1">
      <alignment/>
    </xf>
    <xf numFmtId="3" fontId="1" fillId="0" borderId="2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wrapText="1"/>
    </xf>
    <xf numFmtId="0" fontId="4" fillId="37" borderId="17" xfId="0" applyFont="1" applyFill="1" applyBorder="1" applyAlignment="1">
      <alignment horizontal="left"/>
    </xf>
    <xf numFmtId="3" fontId="3" fillId="37" borderId="17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17" xfId="0" applyFont="1" applyBorder="1" applyAlignment="1">
      <alignment wrapText="1"/>
    </xf>
    <xf numFmtId="0" fontId="8" fillId="0" borderId="17" xfId="0" applyFont="1" applyBorder="1" applyAlignment="1">
      <alignment horizontal="left"/>
    </xf>
    <xf numFmtId="3" fontId="1" fillId="37" borderId="17" xfId="0" applyNumberFormat="1" applyFont="1" applyFill="1" applyBorder="1" applyAlignment="1">
      <alignment/>
    </xf>
    <xf numFmtId="3" fontId="1" fillId="35" borderId="0" xfId="0" applyNumberFormat="1" applyFont="1" applyFill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7" xfId="0" applyFont="1" applyFill="1" applyBorder="1" applyAlignment="1">
      <alignment/>
    </xf>
    <xf numFmtId="9" fontId="1" fillId="36" borderId="17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3" fillId="33" borderId="17" xfId="0" applyFont="1" applyFill="1" applyBorder="1" applyAlignment="1">
      <alignment/>
    </xf>
    <xf numFmtId="3" fontId="4" fillId="33" borderId="17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4" fillId="33" borderId="26" xfId="0" applyFont="1" applyFill="1" applyBorder="1" applyAlignment="1">
      <alignment/>
    </xf>
    <xf numFmtId="3" fontId="4" fillId="33" borderId="27" xfId="0" applyNumberFormat="1" applyFont="1" applyFill="1" applyBorder="1" applyAlignment="1">
      <alignment vertical="center"/>
    </xf>
    <xf numFmtId="0" fontId="3" fillId="0" borderId="26" xfId="0" applyFont="1" applyBorder="1" applyAlignment="1">
      <alignment/>
    </xf>
    <xf numFmtId="3" fontId="4" fillId="0" borderId="27" xfId="0" applyNumberFormat="1" applyFont="1" applyFill="1" applyBorder="1" applyAlignment="1">
      <alignment vertical="center"/>
    </xf>
    <xf numFmtId="0" fontId="1" fillId="0" borderId="26" xfId="0" applyFont="1" applyBorder="1" applyAlignment="1">
      <alignment/>
    </xf>
    <xf numFmtId="3" fontId="5" fillId="0" borderId="27" xfId="0" applyNumberFormat="1" applyFont="1" applyFill="1" applyBorder="1" applyAlignment="1">
      <alignment vertical="center"/>
    </xf>
    <xf numFmtId="0" fontId="0" fillId="0" borderId="27" xfId="0" applyBorder="1" applyAlignment="1">
      <alignment/>
    </xf>
    <xf numFmtId="0" fontId="3" fillId="33" borderId="26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0" borderId="27" xfId="0" applyNumberFormat="1" applyFont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0" fontId="3" fillId="0" borderId="26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49" fontId="4" fillId="33" borderId="25" xfId="0" applyNumberFormat="1" applyFont="1" applyFill="1" applyBorder="1" applyAlignment="1">
      <alignment horizontal="left"/>
    </xf>
    <xf numFmtId="0" fontId="1" fillId="0" borderId="25" xfId="0" applyFont="1" applyBorder="1" applyAlignment="1">
      <alignment/>
    </xf>
    <xf numFmtId="0" fontId="3" fillId="33" borderId="25" xfId="0" applyFont="1" applyFill="1" applyBorder="1" applyAlignment="1">
      <alignment/>
    </xf>
    <xf numFmtId="0" fontId="1" fillId="0" borderId="34" xfId="0" applyFont="1" applyBorder="1" applyAlignment="1">
      <alignment/>
    </xf>
    <xf numFmtId="49" fontId="4" fillId="37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37" borderId="17" xfId="0" applyNumberFormat="1" applyFont="1" applyFill="1" applyBorder="1" applyAlignment="1">
      <alignment vertical="center"/>
    </xf>
    <xf numFmtId="3" fontId="5" fillId="37" borderId="17" xfId="0" applyNumberFormat="1" applyFont="1" applyFill="1" applyBorder="1" applyAlignment="1">
      <alignment vertical="center"/>
    </xf>
    <xf numFmtId="3" fontId="4" fillId="34" borderId="17" xfId="0" applyNumberFormat="1" applyFont="1" applyFill="1" applyBorder="1" applyAlignment="1">
      <alignment vertical="center"/>
    </xf>
    <xf numFmtId="3" fontId="4" fillId="39" borderId="17" xfId="0" applyNumberFormat="1" applyFont="1" applyFill="1" applyBorder="1" applyAlignment="1">
      <alignment vertical="center"/>
    </xf>
    <xf numFmtId="3" fontId="5" fillId="39" borderId="17" xfId="0" applyNumberFormat="1" applyFont="1" applyFill="1" applyBorder="1" applyAlignment="1">
      <alignment vertical="center"/>
    </xf>
    <xf numFmtId="0" fontId="3" fillId="33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5" xfId="0" applyFont="1" applyBorder="1" applyAlignment="1">
      <alignment/>
    </xf>
    <xf numFmtId="0" fontId="3" fillId="37" borderId="26" xfId="0" applyFont="1" applyFill="1" applyBorder="1" applyAlignment="1">
      <alignment/>
    </xf>
    <xf numFmtId="3" fontId="4" fillId="37" borderId="27" xfId="0" applyNumberFormat="1" applyFont="1" applyFill="1" applyBorder="1" applyAlignment="1">
      <alignment vertical="center"/>
    </xf>
    <xf numFmtId="3" fontId="5" fillId="37" borderId="27" xfId="0" applyNumberFormat="1" applyFont="1" applyFill="1" applyBorder="1" applyAlignment="1">
      <alignment vertical="center"/>
    </xf>
    <xf numFmtId="0" fontId="3" fillId="34" borderId="26" xfId="0" applyFont="1" applyFill="1" applyBorder="1" applyAlignment="1">
      <alignment/>
    </xf>
    <xf numFmtId="3" fontId="4" fillId="34" borderId="27" xfId="0" applyNumberFormat="1" applyFont="1" applyFill="1" applyBorder="1" applyAlignment="1">
      <alignment vertical="center"/>
    </xf>
    <xf numFmtId="3" fontId="4" fillId="39" borderId="27" xfId="0" applyNumberFormat="1" applyFont="1" applyFill="1" applyBorder="1" applyAlignment="1">
      <alignment vertical="center"/>
    </xf>
    <xf numFmtId="3" fontId="5" fillId="39" borderId="27" xfId="0" applyNumberFormat="1" applyFont="1" applyFill="1" applyBorder="1" applyAlignment="1">
      <alignment vertical="center"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0" fontId="5" fillId="37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1" fillId="0" borderId="25" xfId="0" applyFont="1" applyFill="1" applyBorder="1" applyAlignment="1">
      <alignment horizontal="left" wrapText="1"/>
    </xf>
    <xf numFmtId="3" fontId="4" fillId="33" borderId="25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0" fillId="0" borderId="25" xfId="0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36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37" borderId="25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168" fontId="1" fillId="0" borderId="25" xfId="61" applyNumberFormat="1" applyFont="1" applyFill="1" applyBorder="1" applyAlignment="1">
      <alignment vertical="center"/>
    </xf>
    <xf numFmtId="168" fontId="3" fillId="0" borderId="25" xfId="61" applyNumberFormat="1" applyFont="1" applyFill="1" applyBorder="1" applyAlignment="1">
      <alignment vertical="center"/>
    </xf>
    <xf numFmtId="9" fontId="3" fillId="33" borderId="25" xfId="61" applyFont="1" applyFill="1" applyBorder="1" applyAlignment="1">
      <alignment vertical="center"/>
    </xf>
    <xf numFmtId="168" fontId="1" fillId="0" borderId="25" xfId="61" applyNumberFormat="1" applyFont="1" applyBorder="1" applyAlignment="1">
      <alignment/>
    </xf>
    <xf numFmtId="168" fontId="1" fillId="36" borderId="25" xfId="61" applyNumberFormat="1" applyFont="1" applyFill="1" applyBorder="1" applyAlignment="1">
      <alignment/>
    </xf>
    <xf numFmtId="168" fontId="1" fillId="0" borderId="25" xfId="61" applyNumberFormat="1" applyFont="1" applyFill="1" applyBorder="1" applyAlignment="1">
      <alignment/>
    </xf>
    <xf numFmtId="9" fontId="3" fillId="33" borderId="25" xfId="61" applyFont="1" applyFill="1" applyBorder="1" applyAlignment="1">
      <alignment/>
    </xf>
    <xf numFmtId="168" fontId="3" fillId="0" borderId="25" xfId="61" applyNumberFormat="1" applyFont="1" applyBorder="1" applyAlignment="1">
      <alignment/>
    </xf>
    <xf numFmtId="168" fontId="3" fillId="33" borderId="25" xfId="61" applyNumberFormat="1" applyFont="1" applyFill="1" applyBorder="1" applyAlignment="1">
      <alignment/>
    </xf>
    <xf numFmtId="168" fontId="3" fillId="36" borderId="25" xfId="61" applyNumberFormat="1" applyFont="1" applyFill="1" applyBorder="1" applyAlignment="1">
      <alignment/>
    </xf>
    <xf numFmtId="168" fontId="3" fillId="0" borderId="25" xfId="61" applyNumberFormat="1" applyFont="1" applyFill="1" applyBorder="1" applyAlignment="1">
      <alignment/>
    </xf>
    <xf numFmtId="168" fontId="1" fillId="0" borderId="10" xfId="61" applyNumberFormat="1" applyFont="1" applyFill="1" applyBorder="1" applyAlignment="1">
      <alignment/>
    </xf>
    <xf numFmtId="168" fontId="3" fillId="33" borderId="10" xfId="61" applyNumberFormat="1" applyFont="1" applyFill="1" applyBorder="1" applyAlignment="1">
      <alignment horizontal="right"/>
    </xf>
    <xf numFmtId="10" fontId="3" fillId="33" borderId="25" xfId="61" applyNumberFormat="1" applyFont="1" applyFill="1" applyBorder="1" applyAlignment="1">
      <alignment/>
    </xf>
    <xf numFmtId="168" fontId="1" fillId="0" borderId="27" xfId="61" applyNumberFormat="1" applyFont="1" applyFill="1" applyBorder="1" applyAlignment="1">
      <alignment vertical="center"/>
    </xf>
    <xf numFmtId="168" fontId="3" fillId="33" borderId="36" xfId="61" applyNumberFormat="1" applyFont="1" applyFill="1" applyBorder="1" applyAlignment="1">
      <alignment vertical="center"/>
    </xf>
    <xf numFmtId="168" fontId="3" fillId="0" borderId="27" xfId="61" applyNumberFormat="1" applyFont="1" applyFill="1" applyBorder="1" applyAlignment="1">
      <alignment vertical="center"/>
    </xf>
    <xf numFmtId="168" fontId="3" fillId="33" borderId="27" xfId="61" applyNumberFormat="1" applyFont="1" applyFill="1" applyBorder="1" applyAlignment="1">
      <alignment vertical="center"/>
    </xf>
    <xf numFmtId="10" fontId="3" fillId="33" borderId="17" xfId="61" applyNumberFormat="1" applyFont="1" applyFill="1" applyBorder="1" applyAlignment="1">
      <alignment/>
    </xf>
    <xf numFmtId="168" fontId="3" fillId="0" borderId="17" xfId="61" applyNumberFormat="1" applyFont="1" applyFill="1" applyBorder="1" applyAlignment="1">
      <alignment/>
    </xf>
    <xf numFmtId="168" fontId="1" fillId="0" borderId="17" xfId="61" applyNumberFormat="1" applyFont="1" applyFill="1" applyBorder="1" applyAlignment="1">
      <alignment/>
    </xf>
    <xf numFmtId="168" fontId="3" fillId="33" borderId="17" xfId="61" applyNumberFormat="1" applyFont="1" applyFill="1" applyBorder="1" applyAlignment="1">
      <alignment/>
    </xf>
    <xf numFmtId="0" fontId="0" fillId="0" borderId="0" xfId="0" applyAlignment="1">
      <alignment horizontal="center"/>
    </xf>
    <xf numFmtId="168" fontId="1" fillId="0" borderId="12" xfId="61" applyNumberFormat="1" applyFont="1" applyBorder="1" applyAlignment="1">
      <alignment/>
    </xf>
    <xf numFmtId="168" fontId="1" fillId="35" borderId="12" xfId="61" applyNumberFormat="1" applyFont="1" applyFill="1" applyBorder="1" applyAlignment="1">
      <alignment/>
    </xf>
    <xf numFmtId="168" fontId="3" fillId="33" borderId="12" xfId="61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0" xfId="0" applyFont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horizontal="left" vertical="top" wrapText="1"/>
    </xf>
    <xf numFmtId="3" fontId="1" fillId="0" borderId="27" xfId="0" applyNumberFormat="1" applyFont="1" applyBorder="1" applyAlignment="1">
      <alignment horizontal="right" vertical="top" wrapText="1"/>
    </xf>
    <xf numFmtId="0" fontId="3" fillId="0" borderId="28" xfId="0" applyFont="1" applyBorder="1" applyAlignment="1">
      <alignment horizontal="left" vertical="top" wrapText="1"/>
    </xf>
    <xf numFmtId="3" fontId="3" fillId="0" borderId="27" xfId="0" applyNumberFormat="1" applyFont="1" applyBorder="1" applyAlignment="1">
      <alignment horizontal="right" vertical="top" wrapText="1"/>
    </xf>
    <xf numFmtId="0" fontId="3" fillId="0" borderId="40" xfId="0" applyFont="1" applyBorder="1" applyAlignment="1">
      <alignment horizontal="left" vertical="top" wrapText="1"/>
    </xf>
    <xf numFmtId="3" fontId="3" fillId="0" borderId="32" xfId="0" applyNumberFormat="1" applyFont="1" applyBorder="1" applyAlignment="1">
      <alignment horizontal="right" vertical="top" wrapText="1"/>
    </xf>
    <xf numFmtId="3" fontId="3" fillId="0" borderId="33" xfId="0" applyNumberFormat="1" applyFont="1" applyBorder="1" applyAlignment="1">
      <alignment horizontal="right" vertical="top" wrapText="1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3" fontId="1" fillId="0" borderId="32" xfId="0" applyNumberFormat="1" applyFont="1" applyBorder="1" applyAlignment="1">
      <alignment horizontal="right" vertical="top" wrapText="1"/>
    </xf>
    <xf numFmtId="3" fontId="1" fillId="0" borderId="33" xfId="0" applyNumberFormat="1" applyFont="1" applyBorder="1" applyAlignment="1">
      <alignment horizontal="right" vertical="top" wrapText="1"/>
    </xf>
    <xf numFmtId="0" fontId="3" fillId="0" borderId="37" xfId="0" applyFont="1" applyBorder="1" applyAlignment="1" applyProtection="1">
      <alignment vertical="center" wrapText="1"/>
      <protection locked="0"/>
    </xf>
    <xf numFmtId="171" fontId="0" fillId="0" borderId="0" xfId="40" applyNumberFormat="1" applyAlignment="1">
      <alignment horizontal="center"/>
    </xf>
    <xf numFmtId="171" fontId="1" fillId="0" borderId="0" xfId="4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1" fontId="3" fillId="0" borderId="17" xfId="40" applyNumberFormat="1" applyFont="1" applyBorder="1" applyAlignment="1">
      <alignment horizontal="center"/>
    </xf>
    <xf numFmtId="171" fontId="1" fillId="0" borderId="17" xfId="4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wrapText="1"/>
    </xf>
    <xf numFmtId="171" fontId="3" fillId="0" borderId="38" xfId="40" applyNumberFormat="1" applyFont="1" applyBorder="1" applyAlignment="1">
      <alignment horizontal="center" wrapText="1"/>
    </xf>
    <xf numFmtId="0" fontId="3" fillId="0" borderId="27" xfId="40" applyNumberFormat="1" applyFont="1" applyBorder="1" applyAlignment="1">
      <alignment horizontal="center"/>
    </xf>
    <xf numFmtId="0" fontId="1" fillId="0" borderId="27" xfId="40" applyNumberFormat="1" applyFont="1" applyBorder="1" applyAlignment="1">
      <alignment horizontal="center"/>
    </xf>
    <xf numFmtId="171" fontId="3" fillId="0" borderId="27" xfId="40" applyNumberFormat="1" applyFont="1" applyBorder="1" applyAlignment="1">
      <alignment horizontal="center"/>
    </xf>
    <xf numFmtId="171" fontId="1" fillId="0" borderId="27" xfId="4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71" fontId="3" fillId="0" borderId="27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center" vertical="top" wrapText="1"/>
    </xf>
    <xf numFmtId="3" fontId="3" fillId="0" borderId="33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71" fontId="0" fillId="0" borderId="0" xfId="40" applyNumberFormat="1" applyFont="1" applyAlignment="1">
      <alignment horizontal="right"/>
    </xf>
    <xf numFmtId="3" fontId="3" fillId="0" borderId="17" xfId="0" applyNumberFormat="1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68" fontId="3" fillId="0" borderId="38" xfId="0" applyNumberFormat="1" applyFont="1" applyBorder="1" applyAlignment="1">
      <alignment horizontal="center" vertical="center" wrapText="1"/>
    </xf>
    <xf numFmtId="168" fontId="3" fillId="0" borderId="27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3" fontId="3" fillId="0" borderId="3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37" borderId="10" xfId="0" applyFont="1" applyFill="1" applyBorder="1" applyAlignment="1">
      <alignment horizontal="left"/>
    </xf>
    <xf numFmtId="0" fontId="3" fillId="37" borderId="4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50" xfId="0" applyNumberFormat="1" applyFont="1" applyBorder="1" applyAlignment="1">
      <alignment horizontal="center" vertical="center" wrapText="1"/>
    </xf>
    <xf numFmtId="168" fontId="3" fillId="0" borderId="51" xfId="0" applyNumberFormat="1" applyFont="1" applyBorder="1" applyAlignment="1">
      <alignment horizontal="center" vertical="center" wrapText="1"/>
    </xf>
    <xf numFmtId="168" fontId="3" fillId="0" borderId="52" xfId="0" applyNumberFormat="1" applyFont="1" applyBorder="1" applyAlignment="1">
      <alignment horizontal="center" vertical="center" wrapText="1"/>
    </xf>
    <xf numFmtId="168" fontId="3" fillId="0" borderId="53" xfId="0" applyNumberFormat="1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1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/>
    </xf>
    <xf numFmtId="3" fontId="3" fillId="0" borderId="51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right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6" xfId="54" applyFont="1" applyBorder="1" applyAlignment="1">
      <alignment horizontal="center" wrapText="1"/>
      <protection/>
    </xf>
    <xf numFmtId="0" fontId="3" fillId="0" borderId="57" xfId="54" applyFont="1" applyBorder="1" applyAlignment="1">
      <alignment horizontal="center" wrapText="1"/>
      <protection/>
    </xf>
    <xf numFmtId="0" fontId="3" fillId="0" borderId="5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4" fillId="0" borderId="12" xfId="0" applyFont="1" applyBorder="1" applyAlignment="1">
      <alignment horizontal="center" vertical="center"/>
    </xf>
    <xf numFmtId="0" fontId="3" fillId="0" borderId="12" xfId="54" applyFont="1" applyBorder="1" applyAlignment="1">
      <alignment horizontal="center" wrapText="1"/>
      <protection/>
    </xf>
    <xf numFmtId="0" fontId="3" fillId="0" borderId="13" xfId="54" applyFont="1" applyBorder="1" applyAlignment="1">
      <alignment horizontal="center" wrapText="1"/>
      <protection/>
    </xf>
    <xf numFmtId="0" fontId="3" fillId="0" borderId="17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54" applyAlignment="1">
      <alignment horizontal="right"/>
      <protection/>
    </xf>
    <xf numFmtId="0" fontId="3" fillId="0" borderId="0" xfId="54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center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PageLayoutView="0" workbookViewId="0" topLeftCell="A1">
      <selection activeCell="E21" sqref="E21"/>
    </sheetView>
  </sheetViews>
  <sheetFormatPr defaultColWidth="9.140625" defaultRowHeight="12.75"/>
  <cols>
    <col min="1" max="1" width="7.28125" style="1" customWidth="1"/>
    <col min="2" max="2" width="58.7109375" style="1" customWidth="1"/>
    <col min="3" max="3" width="18.7109375" style="1" customWidth="1"/>
    <col min="4" max="4" width="14.421875" style="1" customWidth="1"/>
    <col min="5" max="5" width="18.28125" style="1" bestFit="1" customWidth="1"/>
    <col min="6" max="6" width="12.00390625" style="1" customWidth="1"/>
    <col min="7" max="16384" width="9.140625" style="1" customWidth="1"/>
  </cols>
  <sheetData>
    <row r="1" spans="1:6" ht="15.75" customHeight="1">
      <c r="A1" s="331" t="s">
        <v>441</v>
      </c>
      <c r="B1" s="331"/>
      <c r="C1" s="331"/>
      <c r="D1" s="331"/>
      <c r="E1" s="331"/>
      <c r="F1" s="331"/>
    </row>
    <row r="2" spans="1:3" ht="15.75" customHeight="1">
      <c r="A2" s="2"/>
      <c r="B2" s="334"/>
      <c r="C2" s="334"/>
    </row>
    <row r="3" spans="1:6" ht="15.75" customHeight="1">
      <c r="A3" s="332" t="s">
        <v>0</v>
      </c>
      <c r="B3" s="332"/>
      <c r="C3" s="332"/>
      <c r="D3" s="332"/>
      <c r="E3" s="332"/>
      <c r="F3" s="332"/>
    </row>
    <row r="4" spans="1:6" ht="15.75" customHeight="1">
      <c r="A4" s="332" t="s">
        <v>419</v>
      </c>
      <c r="B4" s="332"/>
      <c r="C4" s="332"/>
      <c r="D4" s="332"/>
      <c r="E4" s="332"/>
      <c r="F4" s="332"/>
    </row>
    <row r="5" spans="1:3" ht="15.75" customHeight="1">
      <c r="A5" s="4"/>
      <c r="B5" s="4"/>
      <c r="C5" s="4"/>
    </row>
    <row r="6" spans="1:3" ht="15.75" customHeight="1">
      <c r="A6" s="5"/>
      <c r="B6" s="5"/>
      <c r="C6" s="5"/>
    </row>
    <row r="7" spans="1:6" ht="15.75" customHeight="1">
      <c r="A7" s="335" t="s">
        <v>1</v>
      </c>
      <c r="B7" s="335"/>
      <c r="C7" s="336" t="s">
        <v>2</v>
      </c>
      <c r="D7" s="336" t="s">
        <v>390</v>
      </c>
      <c r="E7" s="329" t="s">
        <v>464</v>
      </c>
      <c r="F7" s="330" t="s">
        <v>465</v>
      </c>
    </row>
    <row r="8" spans="1:6" ht="15.75" customHeight="1">
      <c r="A8" s="335"/>
      <c r="B8" s="335"/>
      <c r="C8" s="336"/>
      <c r="D8" s="336"/>
      <c r="E8" s="329"/>
      <c r="F8" s="330"/>
    </row>
    <row r="9" spans="1:6" ht="15.75" customHeight="1">
      <c r="A9" s="337" t="s">
        <v>3</v>
      </c>
      <c r="B9" s="337"/>
      <c r="C9" s="6">
        <f>SUM(C10:C13)</f>
        <v>414893323</v>
      </c>
      <c r="D9" s="6">
        <f>SUM(D10:D13)</f>
        <v>396937056</v>
      </c>
      <c r="E9" s="6">
        <f>SUM(E10:E13)</f>
        <v>396974376</v>
      </c>
      <c r="F9" s="260">
        <f>E9/D9</f>
        <v>1.0000940199445627</v>
      </c>
    </row>
    <row r="10" spans="1:6" ht="15.75" customHeight="1">
      <c r="A10" s="7" t="s">
        <v>4</v>
      </c>
      <c r="B10" s="8" t="s">
        <v>5</v>
      </c>
      <c r="C10" s="9">
        <f>'2. Bevétel funkció'!F137</f>
        <v>113205923</v>
      </c>
      <c r="D10" s="9">
        <f>'2. Bevétel funkció'!G137</f>
        <v>121439067</v>
      </c>
      <c r="E10" s="9">
        <f>'2. Bevétel funkció'!H137</f>
        <v>121423656</v>
      </c>
      <c r="F10" s="259">
        <f>E10/D10</f>
        <v>0.9998730968511147</v>
      </c>
    </row>
    <row r="11" spans="1:6" ht="15.75" customHeight="1">
      <c r="A11" s="7" t="s">
        <v>6</v>
      </c>
      <c r="B11" s="8" t="s">
        <v>7</v>
      </c>
      <c r="C11" s="9">
        <f>'2. Bevétel funkció'!F139</f>
        <v>146000000</v>
      </c>
      <c r="D11" s="9">
        <f>'2. Bevétel funkció'!G139</f>
        <v>105121474</v>
      </c>
      <c r="E11" s="9">
        <f>'2. Bevétel funkció'!H139</f>
        <v>105066920</v>
      </c>
      <c r="F11" s="259">
        <f>E11/D11</f>
        <v>0.9994810384793501</v>
      </c>
    </row>
    <row r="12" spans="1:6" ht="15.75" customHeight="1">
      <c r="A12" s="7" t="s">
        <v>8</v>
      </c>
      <c r="B12" s="8" t="s">
        <v>9</v>
      </c>
      <c r="C12" s="9">
        <f>'2. Bevétel funkció'!F140</f>
        <v>155387400</v>
      </c>
      <c r="D12" s="9">
        <f>'2. Bevétel funkció'!G140</f>
        <v>168976515</v>
      </c>
      <c r="E12" s="9">
        <f>'2. Bevétel funkció'!H140</f>
        <v>168858675</v>
      </c>
      <c r="F12" s="259">
        <f>E12/D12</f>
        <v>0.9993026249831226</v>
      </c>
    </row>
    <row r="13" spans="1:6" ht="15.75" customHeight="1">
      <c r="A13" s="7" t="s">
        <v>10</v>
      </c>
      <c r="B13" s="8" t="s">
        <v>11</v>
      </c>
      <c r="C13" s="9">
        <f>'2. Bevétel funkció'!F142</f>
        <v>300000</v>
      </c>
      <c r="D13" s="9">
        <f>'2. Bevétel funkció'!G142</f>
        <v>1400000</v>
      </c>
      <c r="E13" s="9">
        <f>'2. Bevétel funkció'!H142</f>
        <v>1625125</v>
      </c>
      <c r="F13" s="259">
        <f>E13/D13</f>
        <v>1.1608035714285714</v>
      </c>
    </row>
    <row r="14" spans="1:6" ht="15.75" customHeight="1">
      <c r="A14" s="7"/>
      <c r="B14" s="8"/>
      <c r="C14" s="9"/>
      <c r="D14" s="9"/>
      <c r="E14" s="9"/>
      <c r="F14" s="9"/>
    </row>
    <row r="15" spans="1:6" ht="15.75" customHeight="1">
      <c r="A15" s="10" t="s">
        <v>12</v>
      </c>
      <c r="B15" s="10"/>
      <c r="C15" s="11">
        <f>SUM(C16:C18)</f>
        <v>54100000</v>
      </c>
      <c r="D15" s="11">
        <f>SUM(D16:D18)</f>
        <v>185301078</v>
      </c>
      <c r="E15" s="11">
        <f>SUM(E16:E18)</f>
        <v>185299218</v>
      </c>
      <c r="F15" s="260">
        <f>E15/D15</f>
        <v>0.9999899622818168</v>
      </c>
    </row>
    <row r="16" spans="1:6" ht="15.75" customHeight="1">
      <c r="A16" s="7" t="s">
        <v>13</v>
      </c>
      <c r="B16" s="7" t="s">
        <v>14</v>
      </c>
      <c r="C16" s="9">
        <v>0</v>
      </c>
      <c r="D16" s="9">
        <f>'2. Bevétel funkció'!G138</f>
        <v>41374828</v>
      </c>
      <c r="E16" s="9">
        <f>'2. Bevétel funkció'!H138</f>
        <v>41374828</v>
      </c>
      <c r="F16" s="259">
        <f>E16/D16</f>
        <v>1</v>
      </c>
    </row>
    <row r="17" spans="1:6" ht="15.75" customHeight="1">
      <c r="A17" s="7" t="s">
        <v>15</v>
      </c>
      <c r="B17" s="8" t="s">
        <v>16</v>
      </c>
      <c r="C17" s="12">
        <f>'2. Bevétel funkció'!F141</f>
        <v>600000</v>
      </c>
      <c r="D17" s="12">
        <f>'2. Bevétel funkció'!G141</f>
        <v>600000</v>
      </c>
      <c r="E17" s="12">
        <f>'2. Bevétel funkció'!H141</f>
        <v>598140</v>
      </c>
      <c r="F17" s="259">
        <f>E17/D17</f>
        <v>0.9969</v>
      </c>
    </row>
    <row r="18" spans="1:6" ht="15.75" customHeight="1">
      <c r="A18" s="7" t="s">
        <v>17</v>
      </c>
      <c r="B18" s="8" t="s">
        <v>18</v>
      </c>
      <c r="C18" s="12">
        <f>'2. Bevétel funkció'!F143</f>
        <v>53500000</v>
      </c>
      <c r="D18" s="12">
        <f>'2. Bevétel funkció'!G143</f>
        <v>143326250</v>
      </c>
      <c r="E18" s="12">
        <f>'2. Bevétel funkció'!H143</f>
        <v>143326250</v>
      </c>
      <c r="F18" s="259">
        <f>E18/D18</f>
        <v>1</v>
      </c>
    </row>
    <row r="19" spans="1:6" ht="15.75" customHeight="1">
      <c r="A19" s="13"/>
      <c r="B19" s="8"/>
      <c r="C19" s="12"/>
      <c r="D19" s="12"/>
      <c r="E19" s="12"/>
      <c r="F19" s="12"/>
    </row>
    <row r="20" spans="1:6" ht="15.75" customHeight="1">
      <c r="A20" s="10" t="s">
        <v>19</v>
      </c>
      <c r="B20" s="14"/>
      <c r="C20" s="11">
        <f>SUM(C21)</f>
        <v>229309157</v>
      </c>
      <c r="D20" s="11">
        <f>SUM(D21)</f>
        <v>107603332</v>
      </c>
      <c r="E20" s="11">
        <f>SUM(E21)</f>
        <v>107603332</v>
      </c>
      <c r="F20" s="260">
        <f>E20/D20</f>
        <v>1</v>
      </c>
    </row>
    <row r="21" spans="1:6" ht="15.75" customHeight="1">
      <c r="A21" s="7" t="s">
        <v>20</v>
      </c>
      <c r="B21" s="8" t="s">
        <v>19</v>
      </c>
      <c r="C21" s="12">
        <f>'2. Bevétel funkció'!F144</f>
        <v>229309157</v>
      </c>
      <c r="D21" s="12">
        <f>'2. Bevétel funkció'!G144</f>
        <v>107603332</v>
      </c>
      <c r="E21" s="12">
        <f>'2. Bevétel funkció'!H144</f>
        <v>107603332</v>
      </c>
      <c r="F21" s="259">
        <f>E21/D21</f>
        <v>1</v>
      </c>
    </row>
    <row r="22" spans="1:6" ht="15.75" customHeight="1">
      <c r="A22" s="7"/>
      <c r="B22" s="8"/>
      <c r="C22" s="12"/>
      <c r="D22" s="12"/>
      <c r="E22" s="12"/>
      <c r="F22" s="12"/>
    </row>
    <row r="23" spans="1:6" ht="15.75" customHeight="1">
      <c r="A23" s="10" t="s">
        <v>21</v>
      </c>
      <c r="B23" s="10"/>
      <c r="C23" s="11">
        <f>SUM(C9+C15+C20)</f>
        <v>698302480</v>
      </c>
      <c r="D23" s="11">
        <f>SUM(D9+D15+D20)</f>
        <v>689841466</v>
      </c>
      <c r="E23" s="11">
        <f>SUM(E9+E15+E20)</f>
        <v>689876926</v>
      </c>
      <c r="F23" s="260">
        <f>E23/D23</f>
        <v>1.0000514031146976</v>
      </c>
    </row>
    <row r="24" spans="1:3" ht="15.75" customHeight="1">
      <c r="A24" s="15"/>
      <c r="B24" s="15"/>
      <c r="C24" s="16"/>
    </row>
    <row r="25" spans="1:3" ht="15.75" customHeight="1">
      <c r="A25" s="17"/>
      <c r="B25" s="17"/>
      <c r="C25" s="18"/>
    </row>
    <row r="26" spans="1:6" ht="15.75" customHeight="1">
      <c r="A26" s="333" t="s">
        <v>22</v>
      </c>
      <c r="B26" s="333"/>
      <c r="C26" s="11">
        <f>SUM(C27:C31)</f>
        <v>510310604.60800004</v>
      </c>
      <c r="D26" s="11">
        <f>SUM(D27:D31)</f>
        <v>496031695.76</v>
      </c>
      <c r="E26" s="11">
        <f>SUM(E27:E31)</f>
        <v>321650952</v>
      </c>
      <c r="F26" s="260">
        <f aca="true" t="shared" si="0" ref="F26:F31">E26/D26</f>
        <v>0.6484483849508432</v>
      </c>
    </row>
    <row r="27" spans="1:6" ht="15.75" customHeight="1">
      <c r="A27" s="7" t="s">
        <v>23</v>
      </c>
      <c r="B27" s="20" t="s">
        <v>24</v>
      </c>
      <c r="C27" s="9">
        <f>'5.kiadás'!G542</f>
        <v>104580730.56</v>
      </c>
      <c r="D27" s="9">
        <f>'5.kiadás'!H542</f>
        <v>107163729.75999999</v>
      </c>
      <c r="E27" s="9">
        <f>'5.kiadás'!I542</f>
        <v>103513680</v>
      </c>
      <c r="F27" s="259">
        <f t="shared" si="0"/>
        <v>0.9659395042690796</v>
      </c>
    </row>
    <row r="28" spans="1:6" ht="15.75" customHeight="1">
      <c r="A28" s="7" t="s">
        <v>25</v>
      </c>
      <c r="B28" s="7" t="s">
        <v>26</v>
      </c>
      <c r="C28" s="9">
        <f>'5.kiadás'!G543</f>
        <v>17917702.048</v>
      </c>
      <c r="D28" s="9">
        <f>'5.kiadás'!H543</f>
        <v>17160783</v>
      </c>
      <c r="E28" s="9">
        <f>'5.kiadás'!I543</f>
        <v>17160783</v>
      </c>
      <c r="F28" s="259">
        <f t="shared" si="0"/>
        <v>1</v>
      </c>
    </row>
    <row r="29" spans="1:6" ht="15.75" customHeight="1">
      <c r="A29" s="7" t="s">
        <v>27</v>
      </c>
      <c r="B29" s="8" t="s">
        <v>28</v>
      </c>
      <c r="C29" s="9">
        <f>'5.kiadás'!G544</f>
        <v>207992000</v>
      </c>
      <c r="D29" s="9">
        <f>'5.kiadás'!H544</f>
        <v>182018416</v>
      </c>
      <c r="E29" s="9">
        <f>'5.kiadás'!I544</f>
        <v>112176163</v>
      </c>
      <c r="F29" s="259">
        <f t="shared" si="0"/>
        <v>0.6162901835163757</v>
      </c>
    </row>
    <row r="30" spans="1:6" ht="15.75" customHeight="1">
      <c r="A30" s="7" t="s">
        <v>29</v>
      </c>
      <c r="B30" s="20" t="s">
        <v>30</v>
      </c>
      <c r="C30" s="9">
        <f>'5.kiadás'!G545</f>
        <v>4500000</v>
      </c>
      <c r="D30" s="9">
        <f>'5.kiadás'!H545</f>
        <v>5326700</v>
      </c>
      <c r="E30" s="9">
        <f>'5.kiadás'!I545</f>
        <v>5243200</v>
      </c>
      <c r="F30" s="259">
        <f t="shared" si="0"/>
        <v>0.9843242532900295</v>
      </c>
    </row>
    <row r="31" spans="1:6" ht="15.75" customHeight="1">
      <c r="A31" s="7" t="s">
        <v>31</v>
      </c>
      <c r="B31" s="20" t="s">
        <v>32</v>
      </c>
      <c r="C31" s="9">
        <f>'5.kiadás'!G546</f>
        <v>175320172</v>
      </c>
      <c r="D31" s="9">
        <f>'5.kiadás'!H546</f>
        <v>184362067</v>
      </c>
      <c r="E31" s="9">
        <f>'5.kiadás'!I546</f>
        <v>83557126</v>
      </c>
      <c r="F31" s="259">
        <f t="shared" si="0"/>
        <v>0.4532229832289741</v>
      </c>
    </row>
    <row r="32" spans="1:6" ht="15.75" customHeight="1">
      <c r="A32" s="7"/>
      <c r="B32" s="20" t="s">
        <v>462</v>
      </c>
      <c r="C32" s="9"/>
      <c r="D32" s="9"/>
      <c r="E32" s="9"/>
      <c r="F32" s="9"/>
    </row>
    <row r="33" spans="1:6" ht="15.75" customHeight="1">
      <c r="A33" s="19" t="s">
        <v>33</v>
      </c>
      <c r="B33" s="21"/>
      <c r="C33" s="11">
        <f>SUM(C34:C36)</f>
        <v>181221587</v>
      </c>
      <c r="D33" s="11">
        <f>SUM(D34:D36)</f>
        <v>186487320</v>
      </c>
      <c r="E33" s="11">
        <f>SUM(E34:E36)</f>
        <v>185313360</v>
      </c>
      <c r="F33" s="260">
        <f>E33/D33</f>
        <v>0.9937048803103611</v>
      </c>
    </row>
    <row r="34" spans="1:6" ht="15.75" customHeight="1">
      <c r="A34" s="8" t="s">
        <v>34</v>
      </c>
      <c r="B34" s="20" t="s">
        <v>35</v>
      </c>
      <c r="C34" s="12">
        <f>'5.kiadás'!G547</f>
        <v>76997078</v>
      </c>
      <c r="D34" s="12">
        <f>'5.kiadás'!H547</f>
        <v>77499306</v>
      </c>
      <c r="E34" s="12">
        <f>'5.kiadás'!I547</f>
        <v>76712625</v>
      </c>
      <c r="F34" s="259">
        <f>E34/D34</f>
        <v>0.9898491865204574</v>
      </c>
    </row>
    <row r="35" spans="1:6" ht="15.75" customHeight="1">
      <c r="A35" s="8" t="s">
        <v>36</v>
      </c>
      <c r="B35" s="20" t="s">
        <v>37</v>
      </c>
      <c r="C35" s="12">
        <f>'5.kiadás'!G548</f>
        <v>101293909</v>
      </c>
      <c r="D35" s="12">
        <f>'5.kiadás'!H548</f>
        <v>107757414</v>
      </c>
      <c r="E35" s="12">
        <f>'5.kiadás'!I548</f>
        <v>107450595</v>
      </c>
      <c r="F35" s="259">
        <f>E35/D35</f>
        <v>0.9971526877955702</v>
      </c>
    </row>
    <row r="36" spans="1:6" ht="15.75" customHeight="1">
      <c r="A36" s="7" t="s">
        <v>38</v>
      </c>
      <c r="B36" s="7" t="s">
        <v>39</v>
      </c>
      <c r="C36" s="12">
        <f>'5.kiadás'!G549</f>
        <v>2930600</v>
      </c>
      <c r="D36" s="12">
        <f>'5.kiadás'!H549</f>
        <v>1230600</v>
      </c>
      <c r="E36" s="12">
        <f>'5.kiadás'!I549</f>
        <v>1150140</v>
      </c>
      <c r="F36" s="259">
        <f>E36/D36</f>
        <v>0.9346172598732325</v>
      </c>
    </row>
    <row r="37" spans="1:6" ht="15.75" customHeight="1">
      <c r="A37" s="7"/>
      <c r="B37" s="7"/>
      <c r="C37" s="12"/>
      <c r="D37" s="12"/>
      <c r="E37" s="12"/>
      <c r="F37" s="12"/>
    </row>
    <row r="38" spans="1:6" ht="15.75" customHeight="1">
      <c r="A38" s="10" t="s">
        <v>40</v>
      </c>
      <c r="B38" s="22"/>
      <c r="C38" s="11">
        <f>SUM(C39)</f>
        <v>6770288</v>
      </c>
      <c r="D38" s="11">
        <f>SUM(D39)</f>
        <v>7322450</v>
      </c>
      <c r="E38" s="11">
        <f>SUM(E39)</f>
        <v>7322450</v>
      </c>
      <c r="F38" s="260">
        <f>E38/D38</f>
        <v>1</v>
      </c>
    </row>
    <row r="39" spans="1:6" ht="15.75" customHeight="1">
      <c r="A39" s="7" t="s">
        <v>41</v>
      </c>
      <c r="B39" s="7" t="s">
        <v>40</v>
      </c>
      <c r="C39" s="12">
        <f>'5.kiadás'!G550</f>
        <v>6770288</v>
      </c>
      <c r="D39" s="12">
        <f>'5.kiadás'!H550</f>
        <v>7322450</v>
      </c>
      <c r="E39" s="12">
        <f>'5.kiadás'!I550</f>
        <v>7322450</v>
      </c>
      <c r="F39" s="259">
        <f>E39/D39</f>
        <v>1</v>
      </c>
    </row>
    <row r="40" spans="1:6" ht="15.75" customHeight="1">
      <c r="A40" s="7"/>
      <c r="B40" s="7"/>
      <c r="C40" s="12"/>
      <c r="D40" s="12"/>
      <c r="E40" s="12"/>
      <c r="F40" s="12"/>
    </row>
    <row r="41" spans="1:6" ht="15.75" customHeight="1">
      <c r="A41" s="10" t="s">
        <v>42</v>
      </c>
      <c r="B41" s="10"/>
      <c r="C41" s="11">
        <f>SUM(C33,C26,C38)</f>
        <v>698302479.608</v>
      </c>
      <c r="D41" s="11">
        <f>SUM(D33,D26,D38)</f>
        <v>689841465.76</v>
      </c>
      <c r="E41" s="11">
        <f>SUM(E33,E26,E38)</f>
        <v>514286762</v>
      </c>
      <c r="F41" s="260">
        <f>E41/D41</f>
        <v>0.7455144225541864</v>
      </c>
    </row>
  </sheetData>
  <sheetProtection selectLockedCells="1" selectUnlockedCells="1"/>
  <mergeCells count="11">
    <mergeCell ref="A9:B9"/>
    <mergeCell ref="E7:E8"/>
    <mergeCell ref="F7:F8"/>
    <mergeCell ref="A1:F1"/>
    <mergeCell ref="A3:F3"/>
    <mergeCell ref="A4:F4"/>
    <mergeCell ref="A26:B26"/>
    <mergeCell ref="B2:C2"/>
    <mergeCell ref="A7:B8"/>
    <mergeCell ref="C7:C8"/>
    <mergeCell ref="D7:D8"/>
  </mergeCells>
  <printOptions headings="1"/>
  <pageMargins left="0.25" right="0.25" top="0.75" bottom="0.75" header="0.5118055555555555" footer="0.5118055555555555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60" zoomScalePageLayoutView="0" workbookViewId="0" topLeftCell="A1">
      <selection activeCell="C15" sqref="C15"/>
    </sheetView>
  </sheetViews>
  <sheetFormatPr defaultColWidth="9.140625" defaultRowHeight="12.75"/>
  <cols>
    <col min="1" max="1" width="33.28125" style="0" customWidth="1"/>
    <col min="2" max="2" width="23.7109375" style="270" bestFit="1" customWidth="1"/>
    <col min="3" max="3" width="20.57421875" style="307" customWidth="1"/>
  </cols>
  <sheetData>
    <row r="1" spans="1:3" ht="15.75">
      <c r="A1" s="421" t="s">
        <v>586</v>
      </c>
      <c r="B1" s="421"/>
      <c r="C1" s="421"/>
    </row>
    <row r="2" spans="1:3" ht="15.75">
      <c r="A2" s="420"/>
      <c r="B2" s="420"/>
      <c r="C2" s="420"/>
    </row>
    <row r="3" spans="1:3" ht="15.75">
      <c r="A3" s="422" t="s">
        <v>0</v>
      </c>
      <c r="B3" s="422"/>
      <c r="C3" s="422"/>
    </row>
    <row r="4" spans="1:2" ht="15.75">
      <c r="A4" s="1"/>
      <c r="B4" s="274"/>
    </row>
    <row r="5" spans="1:3" ht="15.75">
      <c r="A5" s="423" t="s">
        <v>478</v>
      </c>
      <c r="B5" s="423"/>
      <c r="C5" s="423"/>
    </row>
    <row r="6" spans="1:3" ht="15.75">
      <c r="A6" s="423" t="s">
        <v>585</v>
      </c>
      <c r="B6" s="423"/>
      <c r="C6" s="423"/>
    </row>
    <row r="7" spans="1:3" ht="16.5" thickBot="1">
      <c r="A7" s="274"/>
      <c r="B7" s="274"/>
      <c r="C7" s="328" t="s">
        <v>300</v>
      </c>
    </row>
    <row r="8" spans="1:7" ht="15.75">
      <c r="A8" s="326" t="s">
        <v>1</v>
      </c>
      <c r="B8" s="314" t="s">
        <v>587</v>
      </c>
      <c r="C8" s="315" t="s">
        <v>588</v>
      </c>
      <c r="D8" s="1"/>
      <c r="E8" s="1"/>
      <c r="F8" s="1"/>
      <c r="G8" s="1"/>
    </row>
    <row r="9" spans="1:7" ht="15.75">
      <c r="A9" s="295" t="s">
        <v>590</v>
      </c>
      <c r="B9" s="310">
        <v>0</v>
      </c>
      <c r="C9" s="316">
        <v>0</v>
      </c>
      <c r="D9" s="1"/>
      <c r="E9" s="1"/>
      <c r="F9" s="1"/>
      <c r="G9" s="1"/>
    </row>
    <row r="10" spans="1:7" ht="15.75">
      <c r="A10" s="293" t="s">
        <v>589</v>
      </c>
      <c r="B10" s="309">
        <v>0</v>
      </c>
      <c r="C10" s="317">
        <v>0</v>
      </c>
      <c r="D10" s="1"/>
      <c r="E10" s="1"/>
      <c r="F10" s="1"/>
      <c r="G10" s="1"/>
    </row>
    <row r="11" spans="1:7" ht="15.75">
      <c r="A11" s="295" t="s">
        <v>591</v>
      </c>
      <c r="B11" s="311">
        <f>B12+B17+B22+B24</f>
        <v>3431974021</v>
      </c>
      <c r="C11" s="318">
        <f>C12+C17+C22+C24</f>
        <v>2649110596</v>
      </c>
      <c r="D11" s="1"/>
      <c r="E11" s="1"/>
      <c r="F11" s="1"/>
      <c r="G11" s="1"/>
    </row>
    <row r="12" spans="1:7" ht="31.5">
      <c r="A12" s="295" t="s">
        <v>592</v>
      </c>
      <c r="B12" s="311">
        <f>B13+B16</f>
        <v>3196315226</v>
      </c>
      <c r="C12" s="318">
        <f>C13+C16</f>
        <v>2550579815</v>
      </c>
      <c r="D12" s="1"/>
      <c r="E12" s="1"/>
      <c r="F12" s="1"/>
      <c r="G12" s="1"/>
    </row>
    <row r="13" spans="1:7" ht="15.75">
      <c r="A13" s="295" t="s">
        <v>593</v>
      </c>
      <c r="B13" s="312">
        <f>SUM(B14:B15)</f>
        <v>3118257226</v>
      </c>
      <c r="C13" s="319">
        <f>SUM(C14:C15)</f>
        <v>2474899815</v>
      </c>
      <c r="D13" s="1"/>
      <c r="E13" s="1"/>
      <c r="F13" s="1"/>
      <c r="G13" s="1"/>
    </row>
    <row r="14" spans="1:7" ht="15.75">
      <c r="A14" s="293" t="s">
        <v>594</v>
      </c>
      <c r="B14" s="312">
        <v>1470705569</v>
      </c>
      <c r="C14" s="312">
        <v>1107803272</v>
      </c>
      <c r="D14" s="1"/>
      <c r="E14" s="1"/>
      <c r="F14" s="1"/>
      <c r="G14" s="1"/>
    </row>
    <row r="15" spans="1:7" ht="15.75">
      <c r="A15" s="293" t="s">
        <v>595</v>
      </c>
      <c r="B15" s="312">
        <v>1647551657</v>
      </c>
      <c r="C15" s="319">
        <v>1367096543</v>
      </c>
      <c r="D15" s="1"/>
      <c r="E15" s="1"/>
      <c r="F15" s="1"/>
      <c r="G15" s="1"/>
    </row>
    <row r="16" spans="1:7" ht="15.75">
      <c r="A16" s="295" t="s">
        <v>596</v>
      </c>
      <c r="B16" s="311">
        <v>78058000</v>
      </c>
      <c r="C16" s="318">
        <v>75680000</v>
      </c>
      <c r="D16" s="1"/>
      <c r="E16" s="1"/>
      <c r="F16" s="1"/>
      <c r="G16" s="1"/>
    </row>
    <row r="17" spans="1:7" ht="31.5">
      <c r="A17" s="295" t="s">
        <v>597</v>
      </c>
      <c r="B17" s="311">
        <v>193724558</v>
      </c>
      <c r="C17" s="318">
        <v>56596544</v>
      </c>
      <c r="D17" s="1"/>
      <c r="E17" s="1"/>
      <c r="F17" s="1"/>
      <c r="G17" s="1"/>
    </row>
    <row r="18" spans="1:7" ht="15.75">
      <c r="A18" s="295" t="s">
        <v>593</v>
      </c>
      <c r="B18" s="311">
        <f>SUM(B19:B20)</f>
        <v>12162930</v>
      </c>
      <c r="C18" s="318">
        <f>SUM(C19:C20)</f>
        <v>684440</v>
      </c>
      <c r="D18" s="1"/>
      <c r="E18" s="1"/>
      <c r="F18" s="1"/>
      <c r="G18" s="1"/>
    </row>
    <row r="19" spans="1:7" ht="15.75">
      <c r="A19" s="293" t="s">
        <v>594</v>
      </c>
      <c r="B19" s="312">
        <v>0</v>
      </c>
      <c r="C19" s="319">
        <v>0</v>
      </c>
      <c r="D19" s="1"/>
      <c r="E19" s="1"/>
      <c r="F19" s="1"/>
      <c r="G19" s="1"/>
    </row>
    <row r="20" spans="1:7" ht="15.75">
      <c r="A20" s="293" t="s">
        <v>595</v>
      </c>
      <c r="B20" s="312">
        <v>12162930</v>
      </c>
      <c r="C20" s="319">
        <v>684440</v>
      </c>
      <c r="D20" s="1"/>
      <c r="E20" s="1"/>
      <c r="F20" s="1"/>
      <c r="G20" s="1"/>
    </row>
    <row r="21" spans="1:7" ht="15.75">
      <c r="A21" s="295" t="s">
        <v>596</v>
      </c>
      <c r="B21" s="311">
        <v>181561628</v>
      </c>
      <c r="C21" s="318">
        <v>55912104</v>
      </c>
      <c r="D21" s="1"/>
      <c r="E21" s="1"/>
      <c r="F21" s="1"/>
      <c r="G21" s="1"/>
    </row>
    <row r="22" spans="1:7" ht="15.75">
      <c r="A22" s="295" t="s">
        <v>598</v>
      </c>
      <c r="B22" s="310">
        <f>SUM(B23)</f>
        <v>0</v>
      </c>
      <c r="C22" s="320">
        <f>SUM(C23)</f>
        <v>0</v>
      </c>
      <c r="D22" s="1"/>
      <c r="E22" s="1"/>
      <c r="F22" s="1"/>
      <c r="G22" s="1"/>
    </row>
    <row r="23" spans="1:7" ht="15.75">
      <c r="A23" s="295" t="s">
        <v>596</v>
      </c>
      <c r="B23" s="309">
        <v>0</v>
      </c>
      <c r="C23" s="321">
        <v>0</v>
      </c>
      <c r="D23" s="1"/>
      <c r="E23" s="1"/>
      <c r="F23" s="1"/>
      <c r="G23" s="1"/>
    </row>
    <row r="24" spans="1:7" ht="15.75">
      <c r="A24" s="295" t="s">
        <v>599</v>
      </c>
      <c r="B24" s="311">
        <f>SUM(B25:B26)</f>
        <v>41934237</v>
      </c>
      <c r="C24" s="318">
        <f>SUM(C25:C26)</f>
        <v>41934237</v>
      </c>
      <c r="D24" s="1"/>
      <c r="E24" s="1"/>
      <c r="F24" s="1"/>
      <c r="G24" s="1"/>
    </row>
    <row r="25" spans="1:7" ht="15.75">
      <c r="A25" s="295" t="s">
        <v>35</v>
      </c>
      <c r="B25" s="312">
        <v>27701812</v>
      </c>
      <c r="C25" s="319">
        <v>27701812</v>
      </c>
      <c r="D25" s="1"/>
      <c r="E25" s="1"/>
      <c r="F25" s="1"/>
      <c r="G25" s="1"/>
    </row>
    <row r="26" spans="1:7" ht="15.75">
      <c r="A26" s="295" t="s">
        <v>37</v>
      </c>
      <c r="B26" s="312">
        <v>14232425</v>
      </c>
      <c r="C26" s="319">
        <v>14232425</v>
      </c>
      <c r="D26" s="1"/>
      <c r="E26" s="1"/>
      <c r="F26" s="1"/>
      <c r="G26" s="1"/>
    </row>
    <row r="27" spans="1:7" ht="31.5">
      <c r="A27" s="295" t="s">
        <v>600</v>
      </c>
      <c r="B27" s="310">
        <f>SUM(B28:B29)</f>
        <v>0</v>
      </c>
      <c r="C27" s="322">
        <f>C28</f>
        <v>50699542</v>
      </c>
      <c r="D27" s="1"/>
      <c r="E27" s="1"/>
      <c r="F27" s="1"/>
      <c r="G27" s="1"/>
    </row>
    <row r="28" spans="1:7" ht="15.75">
      <c r="A28" s="293" t="s">
        <v>601</v>
      </c>
      <c r="B28" s="309">
        <f>SUM(B29:B30)</f>
        <v>0</v>
      </c>
      <c r="C28" s="319">
        <v>50699542</v>
      </c>
      <c r="D28" s="1"/>
      <c r="E28" s="1"/>
      <c r="F28" s="1"/>
      <c r="G28" s="1"/>
    </row>
    <row r="29" spans="1:7" ht="15.75">
      <c r="A29" s="295" t="s">
        <v>593</v>
      </c>
      <c r="B29" s="310">
        <f>SUM(B30:B31)</f>
        <v>0</v>
      </c>
      <c r="C29" s="320">
        <f>SUM(C30:C31)</f>
        <v>0</v>
      </c>
      <c r="D29" s="1"/>
      <c r="E29" s="1"/>
      <c r="F29" s="1"/>
      <c r="G29" s="1"/>
    </row>
    <row r="30" spans="1:7" ht="15.75">
      <c r="A30" s="293" t="s">
        <v>594</v>
      </c>
      <c r="B30" s="309">
        <v>0</v>
      </c>
      <c r="C30" s="321">
        <v>0</v>
      </c>
      <c r="D30" s="1"/>
      <c r="E30" s="1"/>
      <c r="F30" s="1"/>
      <c r="G30" s="1"/>
    </row>
    <row r="31" spans="1:7" ht="15.75">
      <c r="A31" s="293" t="s">
        <v>595</v>
      </c>
      <c r="B31" s="309">
        <v>0</v>
      </c>
      <c r="C31" s="321">
        <v>0</v>
      </c>
      <c r="D31" s="1"/>
      <c r="E31" s="1"/>
      <c r="F31" s="1"/>
      <c r="G31" s="1"/>
    </row>
    <row r="32" spans="1:7" ht="15.75">
      <c r="A32" s="295" t="s">
        <v>596</v>
      </c>
      <c r="B32" s="311">
        <v>50699542</v>
      </c>
      <c r="C32" s="318">
        <v>50699542</v>
      </c>
      <c r="D32" s="1"/>
      <c r="E32" s="1"/>
      <c r="F32" s="1"/>
      <c r="G32" s="1"/>
    </row>
    <row r="33" spans="1:7" ht="31.5">
      <c r="A33" s="293" t="s">
        <v>602</v>
      </c>
      <c r="B33" s="309">
        <v>0</v>
      </c>
      <c r="C33" s="321">
        <v>0</v>
      </c>
      <c r="D33" s="1"/>
      <c r="E33" s="1"/>
      <c r="F33" s="1"/>
      <c r="G33" s="1"/>
    </row>
    <row r="34" spans="1:7" ht="31.5">
      <c r="A34" s="293" t="s">
        <v>603</v>
      </c>
      <c r="B34" s="309">
        <v>0</v>
      </c>
      <c r="C34" s="321">
        <v>0</v>
      </c>
      <c r="D34" s="1"/>
      <c r="E34" s="1"/>
      <c r="F34" s="1"/>
      <c r="G34" s="1"/>
    </row>
    <row r="35" spans="1:7" ht="47.25">
      <c r="A35" s="295" t="s">
        <v>607</v>
      </c>
      <c r="B35" s="310">
        <v>0</v>
      </c>
      <c r="C35" s="320">
        <v>0</v>
      </c>
      <c r="D35" s="1"/>
      <c r="E35" s="1"/>
      <c r="F35" s="1"/>
      <c r="G35" s="1"/>
    </row>
    <row r="36" spans="1:7" ht="15.75">
      <c r="A36" s="295" t="s">
        <v>593</v>
      </c>
      <c r="B36" s="309">
        <v>0</v>
      </c>
      <c r="C36" s="321">
        <v>0</v>
      </c>
      <c r="D36" s="1"/>
      <c r="E36" s="1"/>
      <c r="F36" s="1"/>
      <c r="G36" s="1"/>
    </row>
    <row r="37" spans="1:7" ht="15.75">
      <c r="A37" s="293" t="s">
        <v>594</v>
      </c>
      <c r="B37" s="309">
        <v>0</v>
      </c>
      <c r="C37" s="321">
        <v>0</v>
      </c>
      <c r="D37" s="1"/>
      <c r="E37" s="1"/>
      <c r="F37" s="1"/>
      <c r="G37" s="1"/>
    </row>
    <row r="38" spans="1:7" ht="15.75">
      <c r="A38" s="293" t="s">
        <v>595</v>
      </c>
      <c r="B38" s="309">
        <v>0</v>
      </c>
      <c r="C38" s="321">
        <v>0</v>
      </c>
      <c r="D38" s="1"/>
      <c r="E38" s="1"/>
      <c r="F38" s="1"/>
      <c r="G38" s="1"/>
    </row>
    <row r="39" spans="1:7" ht="15.75">
      <c r="A39" s="295" t="s">
        <v>596</v>
      </c>
      <c r="B39" s="309">
        <v>0</v>
      </c>
      <c r="C39" s="321">
        <v>0</v>
      </c>
      <c r="D39" s="1"/>
      <c r="E39" s="1"/>
      <c r="F39" s="1"/>
      <c r="G39" s="1"/>
    </row>
    <row r="40" spans="1:7" ht="47.25">
      <c r="A40" s="295" t="s">
        <v>604</v>
      </c>
      <c r="B40" s="313">
        <f>B9+B11+B27+B35</f>
        <v>3431974021</v>
      </c>
      <c r="C40" s="323">
        <f>C9+C11+C27+C35</f>
        <v>2699810138</v>
      </c>
      <c r="D40" s="1"/>
      <c r="E40" s="1"/>
      <c r="F40" s="1"/>
      <c r="G40" s="1"/>
    </row>
    <row r="41" spans="1:7" ht="15.75">
      <c r="A41" s="293" t="s">
        <v>605</v>
      </c>
      <c r="B41" s="309">
        <v>0</v>
      </c>
      <c r="C41" s="319">
        <v>1888499</v>
      </c>
      <c r="D41" s="1"/>
      <c r="E41" s="1"/>
      <c r="F41" s="1"/>
      <c r="G41" s="1"/>
    </row>
    <row r="42" spans="1:7" ht="15.75">
      <c r="A42" s="293" t="s">
        <v>606</v>
      </c>
      <c r="B42" s="309">
        <v>0</v>
      </c>
      <c r="C42" s="321">
        <v>0</v>
      </c>
      <c r="D42" s="1"/>
      <c r="E42" s="1"/>
      <c r="F42" s="1"/>
      <c r="G42" s="1"/>
    </row>
    <row r="43" spans="1:7" ht="48.75" customHeight="1">
      <c r="A43" s="295" t="s">
        <v>608</v>
      </c>
      <c r="B43" s="309">
        <v>0</v>
      </c>
      <c r="C43" s="323">
        <v>1888499</v>
      </c>
      <c r="D43" s="1"/>
      <c r="E43" s="1"/>
      <c r="F43" s="1"/>
      <c r="G43" s="1"/>
    </row>
    <row r="44" spans="1:7" ht="15.75">
      <c r="A44" s="295" t="s">
        <v>609</v>
      </c>
      <c r="B44" s="309">
        <v>0</v>
      </c>
      <c r="C44" s="318">
        <v>183106655</v>
      </c>
      <c r="D44" s="1"/>
      <c r="E44" s="1"/>
      <c r="F44" s="1"/>
      <c r="G44" s="1"/>
    </row>
    <row r="45" spans="1:7" ht="31.5">
      <c r="A45" s="293" t="s">
        <v>610</v>
      </c>
      <c r="B45" s="309">
        <v>0</v>
      </c>
      <c r="C45" s="319">
        <v>21445931</v>
      </c>
      <c r="D45" s="1"/>
      <c r="E45" s="1"/>
      <c r="F45" s="1"/>
      <c r="G45" s="1"/>
    </row>
    <row r="46" spans="1:7" ht="31.5">
      <c r="A46" s="293" t="s">
        <v>611</v>
      </c>
      <c r="B46" s="309">
        <v>0</v>
      </c>
      <c r="C46" s="321">
        <v>0</v>
      </c>
      <c r="D46" s="1"/>
      <c r="E46" s="1"/>
      <c r="F46" s="1"/>
      <c r="G46" s="1"/>
    </row>
    <row r="47" spans="1:7" ht="31.5">
      <c r="A47" s="293" t="s">
        <v>612</v>
      </c>
      <c r="B47" s="309">
        <v>0</v>
      </c>
      <c r="C47" s="319">
        <v>100002</v>
      </c>
      <c r="D47" s="1"/>
      <c r="E47" s="1"/>
      <c r="F47" s="1"/>
      <c r="G47" s="1"/>
    </row>
    <row r="48" spans="1:7" ht="15.75">
      <c r="A48" s="295" t="s">
        <v>613</v>
      </c>
      <c r="B48" s="309">
        <v>0</v>
      </c>
      <c r="C48" s="323">
        <v>21545933</v>
      </c>
      <c r="D48" s="1"/>
      <c r="E48" s="1"/>
      <c r="F48" s="1"/>
      <c r="G48" s="1"/>
    </row>
    <row r="49" spans="1:7" ht="31.5">
      <c r="A49" s="295" t="s">
        <v>631</v>
      </c>
      <c r="B49" s="309">
        <v>0</v>
      </c>
      <c r="C49" s="321">
        <v>0</v>
      </c>
      <c r="D49" s="1"/>
      <c r="E49" s="1"/>
      <c r="F49" s="1"/>
      <c r="G49" s="1"/>
    </row>
    <row r="50" spans="1:7" ht="31.5">
      <c r="A50" s="295" t="s">
        <v>632</v>
      </c>
      <c r="B50" s="309">
        <v>0</v>
      </c>
      <c r="C50" s="321">
        <v>0</v>
      </c>
      <c r="D50" s="1"/>
      <c r="E50" s="1"/>
      <c r="F50" s="1"/>
      <c r="G50" s="1"/>
    </row>
    <row r="51" spans="1:7" ht="15.75">
      <c r="A51" s="295" t="s">
        <v>614</v>
      </c>
      <c r="B51" s="323">
        <f>B40+B43+B44+B48+B49+B50</f>
        <v>3431974021</v>
      </c>
      <c r="C51" s="323">
        <f>C40+C43+C44+C48+C49+C50</f>
        <v>2906351225</v>
      </c>
      <c r="D51" s="1"/>
      <c r="E51" s="1"/>
      <c r="F51" s="1"/>
      <c r="G51" s="1"/>
    </row>
    <row r="52" spans="1:7" ht="31.5">
      <c r="A52" s="293" t="s">
        <v>615</v>
      </c>
      <c r="B52" s="309">
        <v>0</v>
      </c>
      <c r="C52" s="324">
        <v>3055340369</v>
      </c>
      <c r="D52" s="1"/>
      <c r="E52" s="1"/>
      <c r="F52" s="1"/>
      <c r="G52" s="1"/>
    </row>
    <row r="53" spans="1:7" ht="15.75">
      <c r="A53" s="293" t="s">
        <v>616</v>
      </c>
      <c r="B53" s="309">
        <v>0</v>
      </c>
      <c r="C53" s="324">
        <v>-61422506</v>
      </c>
      <c r="D53" s="1"/>
      <c r="E53" s="1"/>
      <c r="F53" s="1"/>
      <c r="G53" s="1"/>
    </row>
    <row r="54" spans="1:7" ht="31.5">
      <c r="A54" s="293" t="s">
        <v>617</v>
      </c>
      <c r="B54" s="309">
        <v>0</v>
      </c>
      <c r="C54" s="324">
        <v>73733644</v>
      </c>
      <c r="D54" s="1"/>
      <c r="E54" s="1"/>
      <c r="F54" s="1"/>
      <c r="G54" s="1"/>
    </row>
    <row r="55" spans="1:7" ht="15.75">
      <c r="A55" s="293" t="s">
        <v>618</v>
      </c>
      <c r="B55" s="309">
        <v>0</v>
      </c>
      <c r="C55" s="324">
        <v>-339893014</v>
      </c>
      <c r="D55" s="1"/>
      <c r="E55" s="1"/>
      <c r="F55" s="1"/>
      <c r="G55" s="1"/>
    </row>
    <row r="56" spans="1:7" ht="15.75">
      <c r="A56" s="293" t="s">
        <v>619</v>
      </c>
      <c r="B56" s="309">
        <v>0</v>
      </c>
      <c r="C56" s="324">
        <v>35103081</v>
      </c>
      <c r="D56" s="1"/>
      <c r="E56" s="1"/>
      <c r="F56" s="1"/>
      <c r="G56" s="1"/>
    </row>
    <row r="57" spans="1:7" ht="15.75">
      <c r="A57" s="295" t="s">
        <v>620</v>
      </c>
      <c r="B57" s="309">
        <v>0</v>
      </c>
      <c r="C57" s="323">
        <v>2762861574</v>
      </c>
      <c r="D57" s="1"/>
      <c r="E57" s="1"/>
      <c r="F57" s="1"/>
      <c r="G57" s="1"/>
    </row>
    <row r="58" spans="1:7" ht="31.5">
      <c r="A58" s="293" t="s">
        <v>621</v>
      </c>
      <c r="B58" s="309">
        <v>0</v>
      </c>
      <c r="C58" s="323">
        <v>168967</v>
      </c>
      <c r="D58" s="1"/>
      <c r="E58" s="1"/>
      <c r="F58" s="1"/>
      <c r="G58" s="1"/>
    </row>
    <row r="59" spans="1:7" ht="31.5">
      <c r="A59" s="293" t="s">
        <v>622</v>
      </c>
      <c r="B59" s="309">
        <v>0</v>
      </c>
      <c r="C59" s="323">
        <v>3470065</v>
      </c>
      <c r="D59" s="1"/>
      <c r="E59" s="1"/>
      <c r="F59" s="1"/>
      <c r="G59" s="1"/>
    </row>
    <row r="60" spans="1:7" ht="31.5">
      <c r="A60" s="293" t="s">
        <v>623</v>
      </c>
      <c r="B60" s="309">
        <v>0</v>
      </c>
      <c r="C60" s="323">
        <v>7616493</v>
      </c>
      <c r="D60" s="1"/>
      <c r="E60" s="1"/>
      <c r="F60" s="1"/>
      <c r="G60" s="1"/>
    </row>
    <row r="61" spans="1:7" ht="15.75">
      <c r="A61" s="295" t="s">
        <v>624</v>
      </c>
      <c r="B61" s="309">
        <v>0</v>
      </c>
      <c r="C61" s="323">
        <v>11255525</v>
      </c>
      <c r="D61" s="1"/>
      <c r="E61" s="1"/>
      <c r="F61" s="1"/>
      <c r="G61" s="1"/>
    </row>
    <row r="62" spans="1:7" ht="31.5">
      <c r="A62" s="295" t="s">
        <v>626</v>
      </c>
      <c r="B62" s="309">
        <v>0</v>
      </c>
      <c r="C62" s="321">
        <v>0</v>
      </c>
      <c r="D62" s="1"/>
      <c r="E62" s="1"/>
      <c r="F62" s="1"/>
      <c r="G62" s="1"/>
    </row>
    <row r="63" spans="1:7" ht="31.5">
      <c r="A63" s="293" t="s">
        <v>627</v>
      </c>
      <c r="B63" s="309">
        <v>0</v>
      </c>
      <c r="C63" s="321">
        <v>0</v>
      </c>
      <c r="D63" s="1"/>
      <c r="E63" s="1"/>
      <c r="F63" s="1"/>
      <c r="G63" s="1"/>
    </row>
    <row r="64" spans="1:7" ht="31.5">
      <c r="A64" s="293" t="s">
        <v>628</v>
      </c>
      <c r="B64" s="309">
        <v>0</v>
      </c>
      <c r="C64" s="321">
        <v>0</v>
      </c>
      <c r="D64" s="1"/>
      <c r="E64" s="1"/>
      <c r="F64" s="1"/>
      <c r="G64" s="1"/>
    </row>
    <row r="65" spans="1:7" ht="31.5">
      <c r="A65" s="293" t="s">
        <v>629</v>
      </c>
      <c r="B65" s="309">
        <v>0</v>
      </c>
      <c r="C65" s="321">
        <v>0</v>
      </c>
      <c r="D65" s="1"/>
      <c r="E65" s="1"/>
      <c r="F65" s="1"/>
      <c r="G65" s="1"/>
    </row>
    <row r="66" spans="1:7" ht="31.5">
      <c r="A66" s="295" t="s">
        <v>625</v>
      </c>
      <c r="B66" s="309">
        <v>0</v>
      </c>
      <c r="C66" s="323">
        <v>132234126</v>
      </c>
      <c r="D66" s="1"/>
      <c r="E66" s="1"/>
      <c r="F66" s="1"/>
      <c r="G66" s="1"/>
    </row>
    <row r="67" spans="1:7" ht="16.5" thickBot="1">
      <c r="A67" s="297" t="s">
        <v>630</v>
      </c>
      <c r="B67" s="327">
        <v>0</v>
      </c>
      <c r="C67" s="325">
        <v>2906351225</v>
      </c>
      <c r="D67" s="1"/>
      <c r="E67" s="1"/>
      <c r="F67" s="1"/>
      <c r="G67" s="1"/>
    </row>
    <row r="68" spans="1:7" ht="15.75">
      <c r="A68" s="1"/>
      <c r="B68" s="274"/>
      <c r="C68" s="308"/>
      <c r="D68" s="1"/>
      <c r="E68" s="1"/>
      <c r="F68" s="1"/>
      <c r="G68" s="1"/>
    </row>
  </sheetData>
  <sheetProtection/>
  <mergeCells count="5">
    <mergeCell ref="A2:C2"/>
    <mergeCell ref="A1:C1"/>
    <mergeCell ref="A3:C3"/>
    <mergeCell ref="A5:C5"/>
    <mergeCell ref="A6:C6"/>
  </mergeCells>
  <printOptions headings="1"/>
  <pageMargins left="0.7" right="0.7" top="0.75" bottom="0.75" header="0.3" footer="0.3"/>
  <pageSetup orientation="portrait" paperSize="9" scale="96" r:id="rId1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PageLayoutView="0" workbookViewId="0" topLeftCell="A1">
      <selection activeCell="N26" sqref="N26"/>
    </sheetView>
  </sheetViews>
  <sheetFormatPr defaultColWidth="9.140625" defaultRowHeight="12.75"/>
  <cols>
    <col min="1" max="1" width="44.28125" style="0" customWidth="1"/>
    <col min="2" max="2" width="15.28125" style="0" customWidth="1"/>
  </cols>
  <sheetData>
    <row r="1" spans="1:4" ht="15.75">
      <c r="A1" s="424" t="s">
        <v>502</v>
      </c>
      <c r="B1" s="424"/>
      <c r="C1" s="1"/>
      <c r="D1" s="1"/>
    </row>
    <row r="2" spans="1:4" ht="15.75">
      <c r="A2" s="420"/>
      <c r="B2" s="420"/>
      <c r="C2" s="420"/>
      <c r="D2" s="420"/>
    </row>
    <row r="3" spans="1:4" ht="15.75">
      <c r="A3" s="425" t="s">
        <v>479</v>
      </c>
      <c r="B3" s="425"/>
      <c r="C3" s="77"/>
      <c r="D3" s="77"/>
    </row>
    <row r="4" spans="1:4" ht="15.75">
      <c r="A4" s="275"/>
      <c r="B4" s="275"/>
      <c r="C4" s="1"/>
      <c r="D4" s="276"/>
    </row>
    <row r="5" spans="1:4" ht="15.75">
      <c r="A5" s="425" t="s">
        <v>480</v>
      </c>
      <c r="B5" s="425"/>
      <c r="C5" s="77"/>
      <c r="D5" s="77"/>
    </row>
    <row r="6" spans="1:4" ht="15.75">
      <c r="A6" s="426" t="s">
        <v>503</v>
      </c>
      <c r="B6" s="426"/>
      <c r="C6" s="278"/>
      <c r="D6" s="278"/>
    </row>
    <row r="7" spans="1:4" ht="15.75">
      <c r="A7" s="1"/>
      <c r="B7" s="1"/>
      <c r="C7" s="1"/>
      <c r="D7" s="1"/>
    </row>
    <row r="8" spans="1:4" ht="16.5" thickBot="1">
      <c r="A8" s="1"/>
      <c r="B8" s="36" t="s">
        <v>300</v>
      </c>
      <c r="C8" s="1"/>
      <c r="D8" s="1"/>
    </row>
    <row r="9" spans="1:4" ht="15.75">
      <c r="A9" s="279" t="s">
        <v>1</v>
      </c>
      <c r="B9" s="280" t="s">
        <v>481</v>
      </c>
      <c r="C9" s="1"/>
      <c r="D9" s="1"/>
    </row>
    <row r="10" spans="1:2" ht="31.5">
      <c r="A10" s="293" t="s">
        <v>504</v>
      </c>
      <c r="B10" s="294">
        <v>582273594</v>
      </c>
    </row>
    <row r="11" spans="1:2" ht="15.75">
      <c r="A11" s="293" t="s">
        <v>505</v>
      </c>
      <c r="B11" s="294">
        <v>506964312</v>
      </c>
    </row>
    <row r="12" spans="1:2" ht="31.5">
      <c r="A12" s="295" t="s">
        <v>506</v>
      </c>
      <c r="B12" s="296">
        <v>75309282</v>
      </c>
    </row>
    <row r="13" spans="1:2" ht="31.5">
      <c r="A13" s="293" t="s">
        <v>507</v>
      </c>
      <c r="B13" s="294">
        <v>107603332</v>
      </c>
    </row>
    <row r="14" spans="1:2" ht="15.75">
      <c r="A14" s="293" t="s">
        <v>508</v>
      </c>
      <c r="B14" s="294">
        <v>7322450</v>
      </c>
    </row>
    <row r="15" spans="1:2" ht="31.5">
      <c r="A15" s="295" t="s">
        <v>509</v>
      </c>
      <c r="B15" s="296">
        <v>100280882</v>
      </c>
    </row>
    <row r="16" spans="1:2" ht="31.5">
      <c r="A16" s="295" t="s">
        <v>510</v>
      </c>
      <c r="B16" s="296">
        <v>175590164</v>
      </c>
    </row>
    <row r="17" spans="1:2" ht="15.75">
      <c r="A17" s="295" t="s">
        <v>511</v>
      </c>
      <c r="B17" s="296">
        <v>175590164</v>
      </c>
    </row>
    <row r="18" spans="1:2" ht="32.25" thickBot="1">
      <c r="A18" s="297" t="s">
        <v>512</v>
      </c>
      <c r="B18" s="299">
        <v>175590164</v>
      </c>
    </row>
  </sheetData>
  <sheetProtection/>
  <mergeCells count="5">
    <mergeCell ref="A1:B1"/>
    <mergeCell ref="A2:D2"/>
    <mergeCell ref="A3:B3"/>
    <mergeCell ref="A5:B5"/>
    <mergeCell ref="A6:B6"/>
  </mergeCells>
  <printOptions headings="1"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selection activeCell="E6" sqref="E6"/>
    </sheetView>
  </sheetViews>
  <sheetFormatPr defaultColWidth="9.140625" defaultRowHeight="12.75"/>
  <cols>
    <col min="1" max="1" width="39.57421875" style="0" customWidth="1"/>
    <col min="2" max="2" width="16.28125" style="0" customWidth="1"/>
    <col min="3" max="3" width="16.421875" style="0" customWidth="1"/>
  </cols>
  <sheetData>
    <row r="1" spans="1:6" ht="15.75">
      <c r="A1" s="424" t="s">
        <v>513</v>
      </c>
      <c r="B1" s="424"/>
      <c r="C1" s="424"/>
      <c r="D1" s="1"/>
      <c r="E1" s="1"/>
      <c r="F1" s="1"/>
    </row>
    <row r="2" spans="1:6" ht="15.75">
      <c r="A2" s="424"/>
      <c r="B2" s="424"/>
      <c r="C2" s="424"/>
      <c r="D2" s="424"/>
      <c r="E2" s="424"/>
      <c r="F2" s="424"/>
    </row>
    <row r="3" spans="1:6" ht="15.75">
      <c r="A3" s="425" t="s">
        <v>479</v>
      </c>
      <c r="B3" s="425"/>
      <c r="C3" s="425"/>
      <c r="D3" s="77"/>
      <c r="E3" s="77"/>
      <c r="F3" s="77"/>
    </row>
    <row r="4" spans="1:6" ht="15.75">
      <c r="A4" s="425" t="s">
        <v>482</v>
      </c>
      <c r="B4" s="425"/>
      <c r="C4" s="425"/>
      <c r="D4" s="77"/>
      <c r="E4" s="77"/>
      <c r="F4" s="77"/>
    </row>
    <row r="5" spans="1:6" ht="15.75">
      <c r="A5" s="426" t="s">
        <v>503</v>
      </c>
      <c r="B5" s="426"/>
      <c r="C5" s="426"/>
      <c r="D5" s="278"/>
      <c r="E5" s="278"/>
      <c r="F5" s="278"/>
    </row>
    <row r="6" spans="1:6" ht="16.5" thickBot="1">
      <c r="A6" s="278"/>
      <c r="B6" s="277"/>
      <c r="C6" s="281" t="s">
        <v>300</v>
      </c>
      <c r="D6" s="277"/>
      <c r="E6" s="277"/>
      <c r="F6" s="277"/>
    </row>
    <row r="7" spans="1:3" ht="15.75">
      <c r="A7" s="279" t="s">
        <v>1</v>
      </c>
      <c r="B7" s="282" t="s">
        <v>483</v>
      </c>
      <c r="C7" s="280" t="s">
        <v>484</v>
      </c>
    </row>
    <row r="8" spans="1:3" ht="31.5">
      <c r="A8" s="293" t="s">
        <v>514</v>
      </c>
      <c r="B8" s="290">
        <v>139310704</v>
      </c>
      <c r="C8" s="294">
        <v>105864536</v>
      </c>
    </row>
    <row r="9" spans="1:3" ht="47.25">
      <c r="A9" s="293" t="s">
        <v>515</v>
      </c>
      <c r="B9" s="290">
        <v>104612523</v>
      </c>
      <c r="C9" s="294">
        <v>115972609</v>
      </c>
    </row>
    <row r="10" spans="1:3" ht="31.5">
      <c r="A10" s="293" t="s">
        <v>516</v>
      </c>
      <c r="B10" s="290">
        <v>134820</v>
      </c>
      <c r="C10" s="294">
        <v>0</v>
      </c>
    </row>
    <row r="11" spans="1:3" ht="47.25">
      <c r="A11" s="295" t="s">
        <v>517</v>
      </c>
      <c r="B11" s="292">
        <v>244058047</v>
      </c>
      <c r="C11" s="296">
        <v>221837145</v>
      </c>
    </row>
    <row r="12" spans="1:3" ht="31.5">
      <c r="A12" s="293" t="s">
        <v>518</v>
      </c>
      <c r="B12" s="290">
        <v>120711281</v>
      </c>
      <c r="C12" s="294">
        <v>105251253</v>
      </c>
    </row>
    <row r="13" spans="1:3" ht="31.5">
      <c r="A13" s="293" t="s">
        <v>519</v>
      </c>
      <c r="B13" s="290">
        <v>12741429</v>
      </c>
      <c r="C13" s="294">
        <v>17503485</v>
      </c>
    </row>
    <row r="14" spans="1:3" ht="31.5">
      <c r="A14" s="293" t="s">
        <v>520</v>
      </c>
      <c r="B14" s="290">
        <v>52299367</v>
      </c>
      <c r="C14" s="294">
        <v>62320245</v>
      </c>
    </row>
    <row r="15" spans="1:3" ht="31.5">
      <c r="A15" s="293" t="s">
        <v>521</v>
      </c>
      <c r="B15" s="290">
        <v>22537844</v>
      </c>
      <c r="C15" s="294">
        <v>23742898</v>
      </c>
    </row>
    <row r="16" spans="1:3" ht="31.5">
      <c r="A16" s="295" t="s">
        <v>522</v>
      </c>
      <c r="B16" s="292">
        <v>208289921</v>
      </c>
      <c r="C16" s="296">
        <v>208817881</v>
      </c>
    </row>
    <row r="17" spans="1:3" ht="15.75">
      <c r="A17" s="293" t="s">
        <v>523</v>
      </c>
      <c r="B17" s="290">
        <v>19697063</v>
      </c>
      <c r="C17" s="294">
        <v>19865747</v>
      </c>
    </row>
    <row r="18" spans="1:3" ht="15.75">
      <c r="A18" s="293" t="s">
        <v>524</v>
      </c>
      <c r="B18" s="290">
        <v>71330474</v>
      </c>
      <c r="C18" s="294">
        <v>72104951</v>
      </c>
    </row>
    <row r="19" spans="1:3" ht="31.5">
      <c r="A19" s="293" t="s">
        <v>525</v>
      </c>
      <c r="B19" s="290">
        <v>1027776</v>
      </c>
      <c r="C19" s="294">
        <v>1130114</v>
      </c>
    </row>
    <row r="20" spans="1:3" ht="31.5">
      <c r="A20" s="295" t="s">
        <v>526</v>
      </c>
      <c r="B20" s="292">
        <v>92055313</v>
      </c>
      <c r="C20" s="296">
        <v>93100812</v>
      </c>
    </row>
    <row r="21" spans="1:3" ht="15.75">
      <c r="A21" s="293" t="s">
        <v>527</v>
      </c>
      <c r="B21" s="290">
        <v>70415308</v>
      </c>
      <c r="C21" s="294">
        <v>73240608</v>
      </c>
    </row>
    <row r="22" spans="1:3" ht="15.75">
      <c r="A22" s="293" t="s">
        <v>528</v>
      </c>
      <c r="B22" s="290">
        <v>25533562</v>
      </c>
      <c r="C22" s="294">
        <v>31410622</v>
      </c>
    </row>
    <row r="23" spans="1:3" ht="15.75">
      <c r="A23" s="293" t="s">
        <v>529</v>
      </c>
      <c r="B23" s="290">
        <v>17567345</v>
      </c>
      <c r="C23" s="294">
        <v>18185893</v>
      </c>
    </row>
    <row r="24" spans="1:3" ht="31.5">
      <c r="A24" s="295" t="s">
        <v>530</v>
      </c>
      <c r="B24" s="292">
        <v>113516215</v>
      </c>
      <c r="C24" s="296">
        <v>122837123</v>
      </c>
    </row>
    <row r="25" spans="1:3" ht="15.75">
      <c r="A25" s="295" t="s">
        <v>531</v>
      </c>
      <c r="B25" s="292">
        <v>95526891</v>
      </c>
      <c r="C25" s="296">
        <v>66521978</v>
      </c>
    </row>
    <row r="26" spans="1:3" ht="15.75">
      <c r="A26" s="295" t="s">
        <v>532</v>
      </c>
      <c r="B26" s="292">
        <v>136578681</v>
      </c>
      <c r="C26" s="296">
        <v>113085097</v>
      </c>
    </row>
    <row r="27" spans="1:3" ht="47.25">
      <c r="A27" s="295" t="s">
        <v>533</v>
      </c>
      <c r="B27" s="292">
        <v>14670868</v>
      </c>
      <c r="C27" s="296">
        <v>35110016</v>
      </c>
    </row>
    <row r="28" spans="1:3" ht="47.25">
      <c r="A28" s="293" t="s">
        <v>534</v>
      </c>
      <c r="B28" s="290">
        <v>851</v>
      </c>
      <c r="C28" s="294">
        <v>102</v>
      </c>
    </row>
    <row r="29" spans="1:3" ht="47.25">
      <c r="A29" s="295" t="s">
        <v>535</v>
      </c>
      <c r="B29" s="292">
        <v>851</v>
      </c>
      <c r="C29" s="296">
        <v>102</v>
      </c>
    </row>
    <row r="30" spans="1:3" ht="31.5">
      <c r="A30" s="293" t="s">
        <v>536</v>
      </c>
      <c r="B30" s="290">
        <v>61373</v>
      </c>
      <c r="C30" s="294">
        <v>7037</v>
      </c>
    </row>
    <row r="31" spans="1:3" ht="31.5">
      <c r="A31" s="295" t="s">
        <v>537</v>
      </c>
      <c r="B31" s="292">
        <v>61373</v>
      </c>
      <c r="C31" s="296">
        <v>7037</v>
      </c>
    </row>
    <row r="32" spans="1:3" ht="31.5">
      <c r="A32" s="295" t="s">
        <v>538</v>
      </c>
      <c r="B32" s="292">
        <v>-60522</v>
      </c>
      <c r="C32" s="296">
        <v>-6935</v>
      </c>
    </row>
    <row r="33" spans="1:3" ht="32.25" thickBot="1">
      <c r="A33" s="297" t="s">
        <v>539</v>
      </c>
      <c r="B33" s="298">
        <v>14610346</v>
      </c>
      <c r="C33" s="299">
        <v>35103081</v>
      </c>
    </row>
  </sheetData>
  <sheetProtection/>
  <mergeCells count="5">
    <mergeCell ref="A1:C1"/>
    <mergeCell ref="A2:F2"/>
    <mergeCell ref="A3:C3"/>
    <mergeCell ref="A4:C4"/>
    <mergeCell ref="A5:C5"/>
  </mergeCells>
  <printOptions headings="1"/>
  <pageMargins left="0.7" right="0.7" top="0.75" bottom="0.75" header="0.3" footer="0.3"/>
  <pageSetup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60" zoomScalePageLayoutView="0" workbookViewId="0" topLeftCell="A1">
      <selection activeCell="B2" sqref="B2"/>
    </sheetView>
  </sheetViews>
  <sheetFormatPr defaultColWidth="9.140625" defaultRowHeight="12.75"/>
  <cols>
    <col min="1" max="1" width="10.28125" style="0" customWidth="1"/>
    <col min="2" max="2" width="20.57421875" style="0" customWidth="1"/>
    <col min="3" max="3" width="9.421875" style="0" bestFit="1" customWidth="1"/>
    <col min="4" max="4" width="13.421875" style="0" customWidth="1"/>
    <col min="5" max="5" width="12.00390625" style="0" customWidth="1"/>
    <col min="6" max="6" width="11.28125" style="0" customWidth="1"/>
    <col min="7" max="7" width="9.421875" style="0" bestFit="1" customWidth="1"/>
    <col min="8" max="8" width="11.140625" style="0" customWidth="1"/>
    <col min="9" max="10" width="9.421875" style="0" bestFit="1" customWidth="1"/>
    <col min="11" max="11" width="12.28125" style="0" customWidth="1"/>
    <col min="12" max="12" width="14.57421875" style="0" customWidth="1"/>
  </cols>
  <sheetData>
    <row r="1" spans="1:12" ht="15.75">
      <c r="A1" s="1"/>
      <c r="B1" s="427" t="s">
        <v>551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428" t="s">
        <v>485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2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78.75">
      <c r="A5" s="283" t="s">
        <v>486</v>
      </c>
      <c r="B5" s="284" t="s">
        <v>1</v>
      </c>
      <c r="C5" s="284" t="s">
        <v>487</v>
      </c>
      <c r="D5" s="284" t="s">
        <v>162</v>
      </c>
      <c r="E5" s="284" t="s">
        <v>488</v>
      </c>
      <c r="F5" s="284" t="s">
        <v>489</v>
      </c>
      <c r="G5" s="284" t="s">
        <v>490</v>
      </c>
      <c r="H5" s="284" t="s">
        <v>164</v>
      </c>
      <c r="I5" s="284" t="s">
        <v>491</v>
      </c>
      <c r="J5" s="284" t="s">
        <v>492</v>
      </c>
      <c r="K5" s="284" t="s">
        <v>493</v>
      </c>
      <c r="L5" s="285" t="s">
        <v>168</v>
      </c>
    </row>
    <row r="6" spans="1:12" ht="31.5">
      <c r="A6" s="300" t="s">
        <v>552</v>
      </c>
      <c r="B6" s="289" t="s">
        <v>540</v>
      </c>
      <c r="C6" s="290">
        <v>3</v>
      </c>
      <c r="D6" s="290">
        <v>7239709</v>
      </c>
      <c r="E6" s="290">
        <v>303600</v>
      </c>
      <c r="F6" s="290">
        <v>703527</v>
      </c>
      <c r="G6" s="290">
        <v>0</v>
      </c>
      <c r="H6" s="290">
        <v>450000</v>
      </c>
      <c r="I6" s="290">
        <v>71280</v>
      </c>
      <c r="J6" s="290">
        <v>0</v>
      </c>
      <c r="K6" s="290">
        <v>47600</v>
      </c>
      <c r="L6" s="294">
        <v>0</v>
      </c>
    </row>
    <row r="7" spans="1:12" ht="31.5">
      <c r="A7" s="300" t="s">
        <v>553</v>
      </c>
      <c r="B7" s="289" t="s">
        <v>541</v>
      </c>
      <c r="C7" s="290">
        <v>1</v>
      </c>
      <c r="D7" s="290">
        <v>5589568</v>
      </c>
      <c r="E7" s="290">
        <v>221650</v>
      </c>
      <c r="F7" s="290">
        <v>0</v>
      </c>
      <c r="G7" s="290">
        <v>886600</v>
      </c>
      <c r="H7" s="290">
        <v>150943</v>
      </c>
      <c r="I7" s="290">
        <v>120000</v>
      </c>
      <c r="J7" s="290">
        <v>0</v>
      </c>
      <c r="K7" s="290">
        <v>500000</v>
      </c>
      <c r="L7" s="294">
        <v>0</v>
      </c>
    </row>
    <row r="8" spans="1:12" ht="63">
      <c r="A8" s="300" t="s">
        <v>554</v>
      </c>
      <c r="B8" s="291" t="s">
        <v>542</v>
      </c>
      <c r="C8" s="292">
        <v>4</v>
      </c>
      <c r="D8" s="292">
        <v>12829277</v>
      </c>
      <c r="E8" s="292">
        <v>525250</v>
      </c>
      <c r="F8" s="292">
        <v>703527</v>
      </c>
      <c r="G8" s="292">
        <v>886600</v>
      </c>
      <c r="H8" s="292">
        <v>600943</v>
      </c>
      <c r="I8" s="292">
        <v>191280</v>
      </c>
      <c r="J8" s="292">
        <v>0</v>
      </c>
      <c r="K8" s="292">
        <v>547600</v>
      </c>
      <c r="L8" s="296">
        <v>0</v>
      </c>
    </row>
    <row r="9" spans="1:12" ht="94.5">
      <c r="A9" s="300" t="s">
        <v>555</v>
      </c>
      <c r="B9" s="289" t="s">
        <v>543</v>
      </c>
      <c r="C9" s="290">
        <v>21</v>
      </c>
      <c r="D9" s="290">
        <v>52175466</v>
      </c>
      <c r="E9" s="290">
        <v>2433406</v>
      </c>
      <c r="F9" s="290">
        <v>2799199</v>
      </c>
      <c r="G9" s="290">
        <v>0</v>
      </c>
      <c r="H9" s="290">
        <v>3277599</v>
      </c>
      <c r="I9" s="290">
        <v>319250</v>
      </c>
      <c r="J9" s="290">
        <v>0</v>
      </c>
      <c r="K9" s="290">
        <v>1490351</v>
      </c>
      <c r="L9" s="294">
        <v>0</v>
      </c>
    </row>
    <row r="10" spans="1:12" ht="15.75">
      <c r="A10" s="300" t="s">
        <v>556</v>
      </c>
      <c r="B10" s="289" t="s">
        <v>544</v>
      </c>
      <c r="C10" s="290">
        <v>1</v>
      </c>
      <c r="D10" s="290">
        <v>636933</v>
      </c>
      <c r="E10" s="290">
        <v>0</v>
      </c>
      <c r="F10" s="290">
        <v>0</v>
      </c>
      <c r="G10" s="290">
        <v>0</v>
      </c>
      <c r="H10" s="290">
        <v>0</v>
      </c>
      <c r="I10" s="290">
        <v>0</v>
      </c>
      <c r="J10" s="290">
        <v>0</v>
      </c>
      <c r="K10" s="290">
        <v>44632</v>
      </c>
      <c r="L10" s="294">
        <v>0</v>
      </c>
    </row>
    <row r="11" spans="1:12" ht="78.75">
      <c r="A11" s="300" t="s">
        <v>557</v>
      </c>
      <c r="B11" s="291" t="s">
        <v>545</v>
      </c>
      <c r="C11" s="292">
        <v>22</v>
      </c>
      <c r="D11" s="292">
        <v>52812399</v>
      </c>
      <c r="E11" s="292">
        <v>2433406</v>
      </c>
      <c r="F11" s="292">
        <v>2799199</v>
      </c>
      <c r="G11" s="292">
        <v>0</v>
      </c>
      <c r="H11" s="292">
        <v>3277599</v>
      </c>
      <c r="I11" s="292">
        <v>319250</v>
      </c>
      <c r="J11" s="292">
        <v>0</v>
      </c>
      <c r="K11" s="292">
        <v>1534983</v>
      </c>
      <c r="L11" s="296">
        <v>0</v>
      </c>
    </row>
    <row r="12" spans="1:12" ht="31.5">
      <c r="A12" s="300" t="s">
        <v>558</v>
      </c>
      <c r="B12" s="289" t="s">
        <v>546</v>
      </c>
      <c r="C12" s="290">
        <v>1</v>
      </c>
      <c r="D12" s="290">
        <v>0</v>
      </c>
      <c r="E12" s="290">
        <v>0</v>
      </c>
      <c r="F12" s="290">
        <v>0</v>
      </c>
      <c r="G12" s="290">
        <v>0</v>
      </c>
      <c r="H12" s="290">
        <v>0</v>
      </c>
      <c r="I12" s="290">
        <v>0</v>
      </c>
      <c r="J12" s="290">
        <v>0</v>
      </c>
      <c r="K12" s="290">
        <v>0</v>
      </c>
      <c r="L12" s="294">
        <v>5806646</v>
      </c>
    </row>
    <row r="13" spans="1:12" ht="63">
      <c r="A13" s="300" t="s">
        <v>559</v>
      </c>
      <c r="B13" s="289" t="s">
        <v>547</v>
      </c>
      <c r="C13" s="290">
        <v>5</v>
      </c>
      <c r="D13" s="290">
        <v>0</v>
      </c>
      <c r="E13" s="290">
        <v>0</v>
      </c>
      <c r="F13" s="290">
        <v>0</v>
      </c>
      <c r="G13" s="290">
        <v>0</v>
      </c>
      <c r="H13" s="290">
        <v>0</v>
      </c>
      <c r="I13" s="290">
        <v>0</v>
      </c>
      <c r="J13" s="290">
        <v>0</v>
      </c>
      <c r="K13" s="290">
        <v>0</v>
      </c>
      <c r="L13" s="294">
        <v>3480000</v>
      </c>
    </row>
    <row r="14" spans="1:12" ht="78.75">
      <c r="A14" s="300" t="s">
        <v>560</v>
      </c>
      <c r="B14" s="289" t="s">
        <v>548</v>
      </c>
      <c r="C14" s="290">
        <v>1</v>
      </c>
      <c r="D14" s="290">
        <v>0</v>
      </c>
      <c r="E14" s="290">
        <v>0</v>
      </c>
      <c r="F14" s="290">
        <v>0</v>
      </c>
      <c r="G14" s="290">
        <v>0</v>
      </c>
      <c r="H14" s="290">
        <v>0</v>
      </c>
      <c r="I14" s="290">
        <v>0</v>
      </c>
      <c r="J14" s="290">
        <v>0</v>
      </c>
      <c r="K14" s="290">
        <v>0</v>
      </c>
      <c r="L14" s="294">
        <v>1086000</v>
      </c>
    </row>
    <row r="15" spans="1:12" ht="63">
      <c r="A15" s="300" t="s">
        <v>561</v>
      </c>
      <c r="B15" s="291" t="s">
        <v>549</v>
      </c>
      <c r="C15" s="292">
        <v>7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6">
        <v>10372646</v>
      </c>
    </row>
    <row r="16" spans="1:12" ht="79.5" thickBot="1">
      <c r="A16" s="301" t="s">
        <v>562</v>
      </c>
      <c r="B16" s="302" t="s">
        <v>550</v>
      </c>
      <c r="C16" s="298">
        <v>33</v>
      </c>
      <c r="D16" s="298">
        <v>65641676</v>
      </c>
      <c r="E16" s="298">
        <v>2958656</v>
      </c>
      <c r="F16" s="298">
        <v>3502726</v>
      </c>
      <c r="G16" s="298">
        <v>886600</v>
      </c>
      <c r="H16" s="298">
        <v>3878542</v>
      </c>
      <c r="I16" s="298">
        <v>510530</v>
      </c>
      <c r="J16" s="298">
        <v>0</v>
      </c>
      <c r="K16" s="298">
        <v>2082583</v>
      </c>
      <c r="L16" s="299">
        <v>10372646</v>
      </c>
    </row>
  </sheetData>
  <sheetProtection/>
  <mergeCells count="2">
    <mergeCell ref="B1:L1"/>
    <mergeCell ref="A3:L3"/>
  </mergeCells>
  <printOptions/>
  <pageMargins left="0.7" right="0.7" top="0.75" bottom="0.75" header="0.3" footer="0.3"/>
  <pageSetup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2.75"/>
  <cols>
    <col min="2" max="2" width="18.28125" style="0" customWidth="1"/>
    <col min="3" max="3" width="13.8515625" style="0" customWidth="1"/>
    <col min="4" max="4" width="17.421875" style="0" customWidth="1"/>
    <col min="5" max="5" width="14.8515625" style="0" customWidth="1"/>
    <col min="6" max="6" width="9.421875" style="0" bestFit="1" customWidth="1"/>
    <col min="7" max="7" width="14.140625" style="0" customWidth="1"/>
    <col min="8" max="8" width="9.421875" style="0" bestFit="1" customWidth="1"/>
    <col min="9" max="9" width="17.57421875" style="0" customWidth="1"/>
  </cols>
  <sheetData>
    <row r="1" spans="1:9" ht="15.75">
      <c r="A1" s="424" t="s">
        <v>563</v>
      </c>
      <c r="B1" s="424"/>
      <c r="C1" s="424"/>
      <c r="D1" s="424"/>
      <c r="E1" s="424"/>
      <c r="F1" s="424"/>
      <c r="G1" s="424"/>
      <c r="H1" s="424"/>
      <c r="I1" s="424"/>
    </row>
    <row r="2" spans="1:9" ht="15.75">
      <c r="A2" s="36"/>
      <c r="B2" s="36"/>
      <c r="C2" s="36"/>
      <c r="D2" s="36"/>
      <c r="E2" s="36"/>
      <c r="F2" s="36"/>
      <c r="G2" s="36"/>
      <c r="H2" s="36"/>
      <c r="I2" s="36"/>
    </row>
    <row r="3" spans="1:9" ht="15.75">
      <c r="A3" s="429" t="s">
        <v>494</v>
      </c>
      <c r="B3" s="429"/>
      <c r="C3" s="429"/>
      <c r="D3" s="429"/>
      <c r="E3" s="429"/>
      <c r="F3" s="429"/>
      <c r="G3" s="429"/>
      <c r="H3" s="429"/>
      <c r="I3" s="429"/>
    </row>
    <row r="4" spans="1:9" ht="16.5" thickBot="1">
      <c r="A4" s="286"/>
      <c r="B4" s="286"/>
      <c r="C4" s="286"/>
      <c r="D4" s="286"/>
      <c r="E4" s="286"/>
      <c r="F4" s="286"/>
      <c r="G4" s="286"/>
      <c r="H4" s="286"/>
      <c r="I4" s="286"/>
    </row>
    <row r="5" spans="1:9" ht="110.25">
      <c r="A5" s="306" t="s">
        <v>486</v>
      </c>
      <c r="B5" s="287" t="s">
        <v>1</v>
      </c>
      <c r="C5" s="287" t="s">
        <v>495</v>
      </c>
      <c r="D5" s="287" t="s">
        <v>496</v>
      </c>
      <c r="E5" s="287" t="s">
        <v>497</v>
      </c>
      <c r="F5" s="287" t="s">
        <v>498</v>
      </c>
      <c r="G5" s="287" t="s">
        <v>499</v>
      </c>
      <c r="H5" s="287" t="s">
        <v>500</v>
      </c>
      <c r="I5" s="288" t="s">
        <v>501</v>
      </c>
    </row>
    <row r="6" spans="1:9" ht="63">
      <c r="A6" s="300" t="s">
        <v>552</v>
      </c>
      <c r="B6" s="291" t="s">
        <v>564</v>
      </c>
      <c r="C6" s="292">
        <v>24395697</v>
      </c>
      <c r="D6" s="292">
        <v>3093458845</v>
      </c>
      <c r="E6" s="292">
        <v>164899132</v>
      </c>
      <c r="F6" s="292">
        <v>0</v>
      </c>
      <c r="G6" s="292">
        <v>25132691</v>
      </c>
      <c r="H6" s="292">
        <v>0</v>
      </c>
      <c r="I6" s="296">
        <v>3307886365</v>
      </c>
    </row>
    <row r="7" spans="1:9" ht="63">
      <c r="A7" s="300" t="s">
        <v>553</v>
      </c>
      <c r="B7" s="289" t="s">
        <v>565</v>
      </c>
      <c r="C7" s="290">
        <v>0</v>
      </c>
      <c r="D7" s="290">
        <v>0</v>
      </c>
      <c r="E7" s="290">
        <v>0</v>
      </c>
      <c r="F7" s="290">
        <v>0</v>
      </c>
      <c r="G7" s="290">
        <v>63418982</v>
      </c>
      <c r="H7" s="290">
        <v>0</v>
      </c>
      <c r="I7" s="294">
        <v>63418982</v>
      </c>
    </row>
    <row r="8" spans="1:9" ht="31.5">
      <c r="A8" s="300" t="s">
        <v>554</v>
      </c>
      <c r="B8" s="289" t="s">
        <v>566</v>
      </c>
      <c r="C8" s="290">
        <v>0</v>
      </c>
      <c r="D8" s="290">
        <v>0</v>
      </c>
      <c r="E8" s="290">
        <v>0</v>
      </c>
      <c r="F8" s="290">
        <v>0</v>
      </c>
      <c r="G8" s="290">
        <v>85064371</v>
      </c>
      <c r="H8" s="290">
        <v>0</v>
      </c>
      <c r="I8" s="294">
        <v>85064371</v>
      </c>
    </row>
    <row r="9" spans="1:9" ht="47.25">
      <c r="A9" s="300" t="s">
        <v>555</v>
      </c>
      <c r="B9" s="289" t="s">
        <v>567</v>
      </c>
      <c r="C9" s="290">
        <v>0</v>
      </c>
      <c r="D9" s="290">
        <v>91040040</v>
      </c>
      <c r="E9" s="290">
        <v>17607152</v>
      </c>
      <c r="F9" s="290">
        <v>0</v>
      </c>
      <c r="G9" s="290">
        <v>0</v>
      </c>
      <c r="H9" s="290">
        <v>0</v>
      </c>
      <c r="I9" s="294">
        <v>108647192</v>
      </c>
    </row>
    <row r="10" spans="1:9" ht="15.75">
      <c r="A10" s="300" t="s">
        <v>556</v>
      </c>
      <c r="B10" s="289" t="s">
        <v>568</v>
      </c>
      <c r="C10" s="290">
        <v>1000000</v>
      </c>
      <c r="D10" s="290">
        <v>12564341</v>
      </c>
      <c r="E10" s="290">
        <v>21769612</v>
      </c>
      <c r="F10" s="290">
        <v>0</v>
      </c>
      <c r="G10" s="290">
        <v>0</v>
      </c>
      <c r="H10" s="290">
        <v>0</v>
      </c>
      <c r="I10" s="294">
        <v>35333953</v>
      </c>
    </row>
    <row r="11" spans="1:9" ht="47.25">
      <c r="A11" s="300" t="s">
        <v>557</v>
      </c>
      <c r="B11" s="291" t="s">
        <v>569</v>
      </c>
      <c r="C11" s="292">
        <v>1000000</v>
      </c>
      <c r="D11" s="292">
        <v>103604381</v>
      </c>
      <c r="E11" s="292">
        <v>39376764</v>
      </c>
      <c r="F11" s="292">
        <v>0</v>
      </c>
      <c r="G11" s="292">
        <v>148483353</v>
      </c>
      <c r="H11" s="292">
        <v>0</v>
      </c>
      <c r="I11" s="296">
        <v>292464498</v>
      </c>
    </row>
    <row r="12" spans="1:9" ht="15.75">
      <c r="A12" s="300" t="s">
        <v>558</v>
      </c>
      <c r="B12" s="289" t="s">
        <v>570</v>
      </c>
      <c r="C12" s="290">
        <v>0</v>
      </c>
      <c r="D12" s="290">
        <v>598140</v>
      </c>
      <c r="E12" s="290">
        <v>0</v>
      </c>
      <c r="F12" s="290">
        <v>0</v>
      </c>
      <c r="G12" s="290">
        <v>0</v>
      </c>
      <c r="H12" s="290">
        <v>0</v>
      </c>
      <c r="I12" s="294">
        <v>598140</v>
      </c>
    </row>
    <row r="13" spans="1:9" ht="15.75">
      <c r="A13" s="300" t="s">
        <v>559</v>
      </c>
      <c r="B13" s="289" t="s">
        <v>571</v>
      </c>
      <c r="C13" s="290">
        <v>1000000</v>
      </c>
      <c r="D13" s="290">
        <v>149860</v>
      </c>
      <c r="E13" s="290">
        <v>10551338</v>
      </c>
      <c r="F13" s="290">
        <v>0</v>
      </c>
      <c r="G13" s="290">
        <v>131681807</v>
      </c>
      <c r="H13" s="290">
        <v>0</v>
      </c>
      <c r="I13" s="294">
        <v>143383005</v>
      </c>
    </row>
    <row r="14" spans="1:9" ht="47.25">
      <c r="A14" s="300" t="s">
        <v>560</v>
      </c>
      <c r="B14" s="291" t="s">
        <v>572</v>
      </c>
      <c r="C14" s="292">
        <v>1000000</v>
      </c>
      <c r="D14" s="292">
        <v>748000</v>
      </c>
      <c r="E14" s="292">
        <v>10551338</v>
      </c>
      <c r="F14" s="292">
        <v>0</v>
      </c>
      <c r="G14" s="292">
        <v>131681807</v>
      </c>
      <c r="H14" s="292">
        <v>0</v>
      </c>
      <c r="I14" s="296">
        <v>143981145</v>
      </c>
    </row>
    <row r="15" spans="1:9" ht="47.25">
      <c r="A15" s="300" t="s">
        <v>561</v>
      </c>
      <c r="B15" s="291" t="s">
        <v>573</v>
      </c>
      <c r="C15" s="292">
        <v>24395697</v>
      </c>
      <c r="D15" s="292">
        <v>3196315226</v>
      </c>
      <c r="E15" s="292">
        <v>193724558</v>
      </c>
      <c r="F15" s="292">
        <v>0</v>
      </c>
      <c r="G15" s="292">
        <v>41934237</v>
      </c>
      <c r="H15" s="292">
        <v>0</v>
      </c>
      <c r="I15" s="296">
        <v>3456369718</v>
      </c>
    </row>
    <row r="16" spans="1:9" ht="47.25">
      <c r="A16" s="300" t="s">
        <v>562</v>
      </c>
      <c r="B16" s="291" t="s">
        <v>574</v>
      </c>
      <c r="C16" s="292">
        <v>24083724</v>
      </c>
      <c r="D16" s="292">
        <v>596522962</v>
      </c>
      <c r="E16" s="292">
        <v>120130458</v>
      </c>
      <c r="F16" s="292">
        <v>0</v>
      </c>
      <c r="G16" s="292">
        <v>0</v>
      </c>
      <c r="H16" s="292">
        <v>0</v>
      </c>
      <c r="I16" s="296">
        <v>740737144</v>
      </c>
    </row>
    <row r="17" spans="1:9" ht="47.25">
      <c r="A17" s="300" t="s">
        <v>580</v>
      </c>
      <c r="B17" s="289" t="s">
        <v>575</v>
      </c>
      <c r="C17" s="290">
        <v>311973</v>
      </c>
      <c r="D17" s="290">
        <v>49212449</v>
      </c>
      <c r="E17" s="290">
        <v>16997556</v>
      </c>
      <c r="F17" s="290">
        <v>0</v>
      </c>
      <c r="G17" s="290">
        <v>0</v>
      </c>
      <c r="H17" s="290">
        <v>0</v>
      </c>
      <c r="I17" s="294">
        <v>66521978</v>
      </c>
    </row>
    <row r="18" spans="1:9" ht="63">
      <c r="A18" s="300" t="s">
        <v>581</v>
      </c>
      <c r="B18" s="291" t="s">
        <v>576</v>
      </c>
      <c r="C18" s="292">
        <v>24395697</v>
      </c>
      <c r="D18" s="292">
        <v>645735411</v>
      </c>
      <c r="E18" s="292">
        <v>137128014</v>
      </c>
      <c r="F18" s="292">
        <v>0</v>
      </c>
      <c r="G18" s="292">
        <v>0</v>
      </c>
      <c r="H18" s="292">
        <v>0</v>
      </c>
      <c r="I18" s="296">
        <v>807259122</v>
      </c>
    </row>
    <row r="19" spans="1:9" ht="47.25">
      <c r="A19" s="300" t="s">
        <v>582</v>
      </c>
      <c r="B19" s="291" t="s">
        <v>577</v>
      </c>
      <c r="C19" s="292">
        <v>24395697</v>
      </c>
      <c r="D19" s="292">
        <v>645735411</v>
      </c>
      <c r="E19" s="292">
        <v>137128014</v>
      </c>
      <c r="F19" s="292">
        <v>0</v>
      </c>
      <c r="G19" s="292">
        <v>0</v>
      </c>
      <c r="H19" s="292">
        <v>0</v>
      </c>
      <c r="I19" s="296">
        <v>807259122</v>
      </c>
    </row>
    <row r="20" spans="1:9" ht="31.5">
      <c r="A20" s="300" t="s">
        <v>583</v>
      </c>
      <c r="B20" s="291" t="s">
        <v>578</v>
      </c>
      <c r="C20" s="292">
        <v>0</v>
      </c>
      <c r="D20" s="292">
        <v>2550579815</v>
      </c>
      <c r="E20" s="292">
        <v>56596544</v>
      </c>
      <c r="F20" s="292">
        <v>0</v>
      </c>
      <c r="G20" s="292">
        <v>41934237</v>
      </c>
      <c r="H20" s="292">
        <v>0</v>
      </c>
      <c r="I20" s="296">
        <v>2649110596</v>
      </c>
    </row>
    <row r="21" spans="1:9" ht="48" thickBot="1">
      <c r="A21" s="301" t="s">
        <v>584</v>
      </c>
      <c r="B21" s="303" t="s">
        <v>579</v>
      </c>
      <c r="C21" s="304">
        <v>24395697</v>
      </c>
      <c r="D21" s="304">
        <v>17487400</v>
      </c>
      <c r="E21" s="304">
        <v>96402684</v>
      </c>
      <c r="F21" s="304">
        <v>0</v>
      </c>
      <c r="G21" s="304">
        <v>0</v>
      </c>
      <c r="H21" s="304">
        <v>0</v>
      </c>
      <c r="I21" s="305">
        <v>138285781</v>
      </c>
    </row>
  </sheetData>
  <sheetProtection/>
  <mergeCells count="2">
    <mergeCell ref="A1:I1"/>
    <mergeCell ref="A3:I3"/>
  </mergeCells>
  <printOptions/>
  <pageMargins left="0.7" right="0.7" top="0.75" bottom="0.75" header="0.3" footer="0.3"/>
  <pageSetup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view="pageBreakPreview" zoomScale="60" zoomScalePageLayoutView="0" workbookViewId="0" topLeftCell="A7">
      <selection activeCell="D12" sqref="D12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28125" style="0" customWidth="1"/>
    <col min="4" max="4" width="4.00390625" style="0" customWidth="1"/>
    <col min="5" max="5" width="59.421875" style="0" customWidth="1"/>
    <col min="6" max="6" width="17.00390625" style="0" customWidth="1"/>
    <col min="7" max="7" width="15.7109375" style="0" customWidth="1"/>
    <col min="8" max="8" width="13.57421875" style="0" customWidth="1"/>
    <col min="9" max="9" width="13.00390625" style="1" customWidth="1"/>
  </cols>
  <sheetData>
    <row r="1" spans="1:9" ht="15.75">
      <c r="A1" s="338" t="s">
        <v>442</v>
      </c>
      <c r="B1" s="338"/>
      <c r="C1" s="338"/>
      <c r="D1" s="338"/>
      <c r="E1" s="338"/>
      <c r="F1" s="338"/>
      <c r="G1" s="338"/>
      <c r="H1" s="338"/>
      <c r="I1" s="338"/>
    </row>
    <row r="2" spans="1:6" ht="15.75">
      <c r="A2" s="23"/>
      <c r="B2" s="23"/>
      <c r="C2" s="23"/>
      <c r="D2" s="23"/>
      <c r="E2" s="3"/>
      <c r="F2" s="3"/>
    </row>
    <row r="3" spans="1:9" ht="15" customHeight="1">
      <c r="A3" s="339" t="s">
        <v>0</v>
      </c>
      <c r="B3" s="339"/>
      <c r="C3" s="339"/>
      <c r="D3" s="339"/>
      <c r="E3" s="339"/>
      <c r="F3" s="339"/>
      <c r="G3" s="339"/>
      <c r="H3" s="339"/>
      <c r="I3" s="339"/>
    </row>
    <row r="4" spans="1:9" ht="15" customHeight="1">
      <c r="A4" s="339" t="s">
        <v>463</v>
      </c>
      <c r="B4" s="339"/>
      <c r="C4" s="339"/>
      <c r="D4" s="339"/>
      <c r="E4" s="339"/>
      <c r="F4" s="339"/>
      <c r="G4" s="339"/>
      <c r="H4" s="339"/>
      <c r="I4" s="339"/>
    </row>
    <row r="5" spans="1:9" ht="15" customHeight="1">
      <c r="A5" s="339" t="s">
        <v>43</v>
      </c>
      <c r="B5" s="339"/>
      <c r="C5" s="339"/>
      <c r="D5" s="339"/>
      <c r="E5" s="339"/>
      <c r="F5" s="339"/>
      <c r="G5" s="339"/>
      <c r="H5" s="339"/>
      <c r="I5" s="339"/>
    </row>
    <row r="6" spans="1:6" ht="15" customHeight="1">
      <c r="A6" s="24"/>
      <c r="B6" s="24"/>
      <c r="C6" s="24"/>
      <c r="D6" s="24"/>
      <c r="E6" s="24"/>
      <c r="F6" s="24"/>
    </row>
    <row r="7" spans="1:6" ht="16.5" thickBot="1">
      <c r="A7" s="25"/>
      <c r="B7" s="25"/>
      <c r="C7" s="25"/>
      <c r="D7" s="25"/>
      <c r="E7" s="26"/>
      <c r="F7" s="26"/>
    </row>
    <row r="8" spans="1:9" ht="15.75" customHeight="1">
      <c r="A8" s="349" t="s">
        <v>44</v>
      </c>
      <c r="B8" s="350"/>
      <c r="C8" s="350"/>
      <c r="D8" s="350"/>
      <c r="E8" s="351"/>
      <c r="F8" s="355" t="s">
        <v>2</v>
      </c>
      <c r="G8" s="347" t="s">
        <v>390</v>
      </c>
      <c r="H8" s="359" t="s">
        <v>464</v>
      </c>
      <c r="I8" s="343" t="s">
        <v>465</v>
      </c>
    </row>
    <row r="9" spans="1:9" ht="12.75" customHeight="1">
      <c r="A9" s="352"/>
      <c r="B9" s="353"/>
      <c r="C9" s="353"/>
      <c r="D9" s="353"/>
      <c r="E9" s="354"/>
      <c r="F9" s="356"/>
      <c r="G9" s="348"/>
      <c r="H9" s="329"/>
      <c r="I9" s="344"/>
    </row>
    <row r="10" spans="1:9" ht="15.75">
      <c r="A10" s="180" t="s">
        <v>45</v>
      </c>
      <c r="B10" s="27"/>
      <c r="C10" s="27"/>
      <c r="D10" s="27"/>
      <c r="E10" s="168"/>
      <c r="F10" s="163">
        <f>F11+F17+F19+F13</f>
        <v>1101000</v>
      </c>
      <c r="G10" s="236">
        <f>G11+G17+G19+G13+G21</f>
        <v>2362019</v>
      </c>
      <c r="H10" s="236">
        <f>H11+H17+H19+H13+H21</f>
        <v>2260808</v>
      </c>
      <c r="I10" s="250">
        <f>H10/G10</f>
        <v>0.9571506410405675</v>
      </c>
    </row>
    <row r="11" spans="1:9" ht="15.75">
      <c r="A11" s="182" t="s">
        <v>4</v>
      </c>
      <c r="B11" s="28"/>
      <c r="C11" s="28" t="s">
        <v>5</v>
      </c>
      <c r="D11" s="28"/>
      <c r="E11" s="169"/>
      <c r="F11" s="178">
        <f>SUM(F12)</f>
        <v>0</v>
      </c>
      <c r="G11" s="237">
        <f>SUM(G12)</f>
        <v>0</v>
      </c>
      <c r="H11" s="237">
        <f>SUM(H12)</f>
        <v>25000</v>
      </c>
      <c r="I11" s="248"/>
    </row>
    <row r="12" spans="1:9" ht="15.75">
      <c r="A12" s="184"/>
      <c r="B12" s="29" t="s">
        <v>46</v>
      </c>
      <c r="C12" s="29"/>
      <c r="D12" s="29" t="s">
        <v>47</v>
      </c>
      <c r="E12" s="169"/>
      <c r="F12" s="179">
        <v>0</v>
      </c>
      <c r="G12" s="238">
        <v>0</v>
      </c>
      <c r="H12" s="238">
        <v>25000</v>
      </c>
      <c r="I12" s="248"/>
    </row>
    <row r="13" spans="1:9" ht="15.75">
      <c r="A13" s="182" t="s">
        <v>8</v>
      </c>
      <c r="B13" s="28"/>
      <c r="C13" s="28" t="s">
        <v>9</v>
      </c>
      <c r="D13" s="28"/>
      <c r="E13" s="170"/>
      <c r="F13" s="179">
        <f>SUM(F14:F15)</f>
        <v>201000</v>
      </c>
      <c r="G13" s="238">
        <f>SUM(G14:G16)</f>
        <v>1138719</v>
      </c>
      <c r="H13" s="238">
        <f>SUM(H14:H16)</f>
        <v>1176228</v>
      </c>
      <c r="I13" s="248">
        <f aca="true" t="shared" si="0" ref="I13:I21">H13/G13</f>
        <v>1.0329396453383144</v>
      </c>
    </row>
    <row r="14" spans="1:9" ht="15.75">
      <c r="A14" s="184"/>
      <c r="B14" s="29"/>
      <c r="C14" s="29" t="s">
        <v>48</v>
      </c>
      <c r="D14" s="29" t="s">
        <v>49</v>
      </c>
      <c r="E14" s="169"/>
      <c r="F14" s="179">
        <v>200000</v>
      </c>
      <c r="G14" s="238">
        <v>200000</v>
      </c>
      <c r="H14" s="238">
        <v>150000</v>
      </c>
      <c r="I14" s="248">
        <f t="shared" si="0"/>
        <v>0.75</v>
      </c>
    </row>
    <row r="15" spans="1:9" ht="15.75">
      <c r="A15" s="184"/>
      <c r="B15" s="29"/>
      <c r="C15" s="29" t="s">
        <v>52</v>
      </c>
      <c r="D15" s="29" t="s">
        <v>53</v>
      </c>
      <c r="E15" s="169"/>
      <c r="F15" s="179">
        <v>1000</v>
      </c>
      <c r="G15" s="238">
        <v>1000</v>
      </c>
      <c r="H15" s="238">
        <v>102</v>
      </c>
      <c r="I15" s="248">
        <f t="shared" si="0"/>
        <v>0.102</v>
      </c>
    </row>
    <row r="16" spans="1:9" ht="15.75">
      <c r="A16" s="184"/>
      <c r="B16" s="29"/>
      <c r="C16" s="29" t="s">
        <v>422</v>
      </c>
      <c r="D16" s="29" t="s">
        <v>423</v>
      </c>
      <c r="E16" s="169"/>
      <c r="F16" s="179"/>
      <c r="G16" s="238">
        <v>937719</v>
      </c>
      <c r="H16" s="238">
        <v>1026126</v>
      </c>
      <c r="I16" s="248">
        <f t="shared" si="0"/>
        <v>1.0942787764778148</v>
      </c>
    </row>
    <row r="17" spans="1:9" ht="15.75">
      <c r="A17" s="182" t="s">
        <v>15</v>
      </c>
      <c r="B17" s="28"/>
      <c r="C17" s="28" t="s">
        <v>16</v>
      </c>
      <c r="D17" s="28"/>
      <c r="E17" s="170"/>
      <c r="F17" s="178">
        <f>SUM(F18:F18)</f>
        <v>600000</v>
      </c>
      <c r="G17" s="237">
        <f>SUM(G18:G18)</f>
        <v>600000</v>
      </c>
      <c r="H17" s="237">
        <f>SUM(H18:H18)</f>
        <v>598140</v>
      </c>
      <c r="I17" s="249">
        <f t="shared" si="0"/>
        <v>0.9969</v>
      </c>
    </row>
    <row r="18" spans="1:9" ht="15.75">
      <c r="A18" s="184"/>
      <c r="B18" s="29" t="s">
        <v>54</v>
      </c>
      <c r="C18" s="29"/>
      <c r="D18" s="29" t="s">
        <v>55</v>
      </c>
      <c r="E18" s="169"/>
      <c r="F18" s="179">
        <v>600000</v>
      </c>
      <c r="G18" s="238">
        <v>600000</v>
      </c>
      <c r="H18" s="238">
        <v>598140</v>
      </c>
      <c r="I18" s="248">
        <f t="shared" si="0"/>
        <v>0.9969</v>
      </c>
    </row>
    <row r="19" spans="1:9" ht="15.75">
      <c r="A19" s="182" t="s">
        <v>10</v>
      </c>
      <c r="B19" s="28"/>
      <c r="C19" s="28" t="s">
        <v>11</v>
      </c>
      <c r="D19" s="28"/>
      <c r="E19" s="170"/>
      <c r="F19" s="178">
        <f>SUM(F20)</f>
        <v>300000</v>
      </c>
      <c r="G19" s="237">
        <f>SUM(G20)</f>
        <v>300000</v>
      </c>
      <c r="H19" s="237">
        <f>SUM(H20)</f>
        <v>138140</v>
      </c>
      <c r="I19" s="249">
        <f t="shared" si="0"/>
        <v>0.4604666666666667</v>
      </c>
    </row>
    <row r="20" spans="1:9" ht="15.75">
      <c r="A20" s="184"/>
      <c r="B20" s="29" t="s">
        <v>56</v>
      </c>
      <c r="C20" s="29"/>
      <c r="D20" s="29" t="s">
        <v>57</v>
      </c>
      <c r="E20" s="169"/>
      <c r="F20" s="179">
        <v>300000</v>
      </c>
      <c r="G20" s="238">
        <v>300000</v>
      </c>
      <c r="H20" s="238">
        <v>138140</v>
      </c>
      <c r="I20" s="248">
        <f t="shared" si="0"/>
        <v>0.4604666666666667</v>
      </c>
    </row>
    <row r="21" spans="1:9" ht="15.75">
      <c r="A21" s="182" t="s">
        <v>17</v>
      </c>
      <c r="B21" s="28"/>
      <c r="C21" s="28" t="s">
        <v>16</v>
      </c>
      <c r="D21" s="29"/>
      <c r="E21" s="169"/>
      <c r="F21" s="178">
        <f>SUM(F22)</f>
        <v>0</v>
      </c>
      <c r="G21" s="237">
        <f>SUM(G22)</f>
        <v>323300</v>
      </c>
      <c r="H21" s="237">
        <f>SUM(H22)</f>
        <v>323300</v>
      </c>
      <c r="I21" s="248">
        <f t="shared" si="0"/>
        <v>1</v>
      </c>
    </row>
    <row r="22" spans="1:9" ht="15.75">
      <c r="A22" s="184"/>
      <c r="B22" s="29"/>
      <c r="C22" s="29" t="s">
        <v>378</v>
      </c>
      <c r="D22" s="29" t="s">
        <v>379</v>
      </c>
      <c r="E22" s="169"/>
      <c r="F22" s="179">
        <v>0</v>
      </c>
      <c r="G22" s="238">
        <v>323300</v>
      </c>
      <c r="H22" s="238">
        <v>323300</v>
      </c>
      <c r="I22" s="248">
        <f>H22/G22</f>
        <v>1</v>
      </c>
    </row>
    <row r="23" spans="1:9" ht="15.75" customHeight="1">
      <c r="A23" s="184"/>
      <c r="B23" s="29"/>
      <c r="C23" s="29"/>
      <c r="D23" s="29"/>
      <c r="E23" s="169"/>
      <c r="F23" s="144"/>
      <c r="G23" s="239"/>
      <c r="H23" s="239"/>
      <c r="I23" s="201"/>
    </row>
    <row r="24" spans="1:9" ht="15.75" customHeight="1">
      <c r="A24" s="187" t="s">
        <v>58</v>
      </c>
      <c r="B24" s="30"/>
      <c r="C24" s="30"/>
      <c r="D24" s="30"/>
      <c r="E24" s="171"/>
      <c r="F24" s="107">
        <f>SUM(F25)</f>
        <v>146000000</v>
      </c>
      <c r="G24" s="240">
        <f>SUM(G25)</f>
        <v>105121474</v>
      </c>
      <c r="H24" s="240">
        <f>SUM(H25)</f>
        <v>105066920</v>
      </c>
      <c r="I24" s="254">
        <f>H24/G24</f>
        <v>0.9994810384793501</v>
      </c>
    </row>
    <row r="25" spans="1:9" ht="15.75" customHeight="1">
      <c r="A25" s="182" t="s">
        <v>6</v>
      </c>
      <c r="B25" s="28"/>
      <c r="C25" s="28" t="s">
        <v>7</v>
      </c>
      <c r="D25" s="28"/>
      <c r="E25" s="170"/>
      <c r="F25" s="82">
        <f>F26+F29+F36</f>
        <v>146000000</v>
      </c>
      <c r="G25" s="241">
        <f>G26+G29+G36</f>
        <v>105121474</v>
      </c>
      <c r="H25" s="241">
        <f>H26+H29+H36</f>
        <v>105066920</v>
      </c>
      <c r="I25" s="255">
        <f aca="true" t="shared" si="1" ref="I25:I36">H25/G25</f>
        <v>0.9994810384793501</v>
      </c>
    </row>
    <row r="26" spans="1:9" ht="15.75" customHeight="1">
      <c r="A26" s="184"/>
      <c r="B26" s="28" t="s">
        <v>59</v>
      </c>
      <c r="C26" s="28"/>
      <c r="D26" s="28" t="s">
        <v>60</v>
      </c>
      <c r="E26" s="170"/>
      <c r="F26" s="82">
        <f>SUM(F27:F28)</f>
        <v>63000000</v>
      </c>
      <c r="G26" s="241">
        <f>SUM(G27:G28)</f>
        <v>66809611</v>
      </c>
      <c r="H26" s="241">
        <f>SUM(H27:H28)</f>
        <v>66863251</v>
      </c>
      <c r="I26" s="255">
        <f t="shared" si="1"/>
        <v>1.0008028784960297</v>
      </c>
    </row>
    <row r="27" spans="1:9" ht="15.75" customHeight="1">
      <c r="A27" s="184"/>
      <c r="B27" s="29"/>
      <c r="C27" s="29" t="s">
        <v>61</v>
      </c>
      <c r="D27" s="29"/>
      <c r="E27" s="169" t="s">
        <v>62</v>
      </c>
      <c r="F27" s="108">
        <v>53000000</v>
      </c>
      <c r="G27" s="242">
        <v>53000000</v>
      </c>
      <c r="H27" s="242">
        <v>52546600</v>
      </c>
      <c r="I27" s="251">
        <f t="shared" si="1"/>
        <v>0.9914452830188679</v>
      </c>
    </row>
    <row r="28" spans="1:9" ht="15.75" customHeight="1">
      <c r="A28" s="182"/>
      <c r="B28" s="28"/>
      <c r="C28" s="29" t="s">
        <v>63</v>
      </c>
      <c r="D28" s="28"/>
      <c r="E28" s="169" t="s">
        <v>64</v>
      </c>
      <c r="F28" s="144">
        <v>10000000</v>
      </c>
      <c r="G28" s="243">
        <v>13809611</v>
      </c>
      <c r="H28" s="243">
        <v>14316651</v>
      </c>
      <c r="I28" s="251">
        <f t="shared" si="1"/>
        <v>1.036716457835054</v>
      </c>
    </row>
    <row r="29" spans="1:9" ht="15.75" customHeight="1">
      <c r="A29" s="182"/>
      <c r="B29" s="28" t="s">
        <v>65</v>
      </c>
      <c r="C29" s="28"/>
      <c r="D29" s="28" t="s">
        <v>66</v>
      </c>
      <c r="E29" s="170"/>
      <c r="F29" s="82">
        <f>F30+F32+F34</f>
        <v>82500000</v>
      </c>
      <c r="G29" s="241">
        <f>G30+G32+G34</f>
        <v>37502762</v>
      </c>
      <c r="H29" s="241">
        <f>H30+H32+H34</f>
        <v>37394568</v>
      </c>
      <c r="I29" s="255">
        <f t="shared" si="1"/>
        <v>0.9971150391536495</v>
      </c>
    </row>
    <row r="30" spans="1:9" ht="15.75" customHeight="1">
      <c r="A30" s="182"/>
      <c r="B30" s="29"/>
      <c r="C30" s="29" t="s">
        <v>67</v>
      </c>
      <c r="D30" s="29" t="s">
        <v>68</v>
      </c>
      <c r="E30" s="169"/>
      <c r="F30" s="144">
        <f>SUM(F31)</f>
        <v>50000000</v>
      </c>
      <c r="G30" s="243">
        <f>SUM(G31)</f>
        <v>37287062</v>
      </c>
      <c r="H30" s="243">
        <f>SUM(H31)</f>
        <v>37287062</v>
      </c>
      <c r="I30" s="251">
        <f t="shared" si="1"/>
        <v>1</v>
      </c>
    </row>
    <row r="31" spans="1:9" ht="15.75" customHeight="1">
      <c r="A31" s="182"/>
      <c r="B31" s="29"/>
      <c r="C31" s="29"/>
      <c r="D31" s="29"/>
      <c r="E31" s="169" t="s">
        <v>69</v>
      </c>
      <c r="F31" s="108">
        <v>50000000</v>
      </c>
      <c r="G31" s="242">
        <v>37287062</v>
      </c>
      <c r="H31" s="242">
        <v>37287062</v>
      </c>
      <c r="I31" s="251">
        <f t="shared" si="1"/>
        <v>1</v>
      </c>
    </row>
    <row r="32" spans="1:9" ht="15.75" customHeight="1">
      <c r="A32" s="182"/>
      <c r="B32" s="29"/>
      <c r="C32" s="29" t="s">
        <v>70</v>
      </c>
      <c r="D32" s="29" t="s">
        <v>71</v>
      </c>
      <c r="E32" s="169"/>
      <c r="F32" s="144">
        <f>SUM(F33)</f>
        <v>3500000</v>
      </c>
      <c r="G32" s="243">
        <f>SUM(G33)</f>
        <v>70700</v>
      </c>
      <c r="H32" s="243">
        <f>SUM(H33)</f>
        <v>70709</v>
      </c>
      <c r="I32" s="251">
        <f t="shared" si="1"/>
        <v>1.00012729844413</v>
      </c>
    </row>
    <row r="33" spans="1:9" ht="15.75" customHeight="1">
      <c r="A33" s="182"/>
      <c r="B33" s="29"/>
      <c r="C33" s="29"/>
      <c r="D33" s="29"/>
      <c r="E33" s="169" t="s">
        <v>72</v>
      </c>
      <c r="F33" s="144">
        <v>3500000</v>
      </c>
      <c r="G33" s="243">
        <v>70700</v>
      </c>
      <c r="H33" s="243">
        <v>70709</v>
      </c>
      <c r="I33" s="251">
        <f t="shared" si="1"/>
        <v>1.00012729844413</v>
      </c>
    </row>
    <row r="34" spans="1:9" ht="15.75" customHeight="1">
      <c r="A34" s="182"/>
      <c r="B34" s="29"/>
      <c r="C34" s="29" t="s">
        <v>73</v>
      </c>
      <c r="D34" s="29" t="s">
        <v>74</v>
      </c>
      <c r="E34" s="169"/>
      <c r="F34" s="144">
        <f>SUM(F35:F35)</f>
        <v>29000000</v>
      </c>
      <c r="G34" s="243">
        <f>SUM(G35:G35)</f>
        <v>145000</v>
      </c>
      <c r="H34" s="243">
        <f>SUM(H35:H35)</f>
        <v>36797</v>
      </c>
      <c r="I34" s="251">
        <f t="shared" si="1"/>
        <v>0.25377241379310345</v>
      </c>
    </row>
    <row r="35" spans="1:9" ht="15.75" customHeight="1">
      <c r="A35" s="182"/>
      <c r="B35" s="29"/>
      <c r="C35" s="29"/>
      <c r="D35" s="29"/>
      <c r="E35" s="169" t="s">
        <v>75</v>
      </c>
      <c r="F35" s="144">
        <v>29000000</v>
      </c>
      <c r="G35" s="243">
        <v>145000</v>
      </c>
      <c r="H35" s="243">
        <v>36797</v>
      </c>
      <c r="I35" s="251">
        <f t="shared" si="1"/>
        <v>0.25377241379310345</v>
      </c>
    </row>
    <row r="36" spans="1:9" ht="15.75" customHeight="1">
      <c r="A36" s="184"/>
      <c r="B36" s="28" t="s">
        <v>76</v>
      </c>
      <c r="C36" s="28"/>
      <c r="D36" s="28" t="s">
        <v>77</v>
      </c>
      <c r="E36" s="170"/>
      <c r="F36" s="82">
        <f>F37</f>
        <v>500000</v>
      </c>
      <c r="G36" s="241">
        <f>G37</f>
        <v>809101</v>
      </c>
      <c r="H36" s="241">
        <f>H37</f>
        <v>809101</v>
      </c>
      <c r="I36" s="255">
        <f t="shared" si="1"/>
        <v>1</v>
      </c>
    </row>
    <row r="37" spans="1:9" ht="15.75" customHeight="1">
      <c r="A37" s="184"/>
      <c r="B37" s="29"/>
      <c r="C37" s="29" t="s">
        <v>78</v>
      </c>
      <c r="D37" s="29"/>
      <c r="E37" s="169" t="s">
        <v>79</v>
      </c>
      <c r="F37" s="144">
        <v>500000</v>
      </c>
      <c r="G37" s="243">
        <v>809101</v>
      </c>
      <c r="H37" s="243">
        <v>809101</v>
      </c>
      <c r="I37" s="251">
        <f>H37/G37</f>
        <v>1</v>
      </c>
    </row>
    <row r="38" spans="1:9" ht="15.75" customHeight="1">
      <c r="A38" s="182"/>
      <c r="B38" s="29"/>
      <c r="C38" s="29"/>
      <c r="D38" s="29"/>
      <c r="E38" s="169"/>
      <c r="F38" s="144"/>
      <c r="G38" s="239"/>
      <c r="H38" s="239"/>
      <c r="I38" s="201"/>
    </row>
    <row r="39" spans="1:9" ht="15.75" customHeight="1">
      <c r="A39" s="180" t="s">
        <v>80</v>
      </c>
      <c r="B39" s="19"/>
      <c r="C39" s="19"/>
      <c r="D39" s="19"/>
      <c r="E39" s="172"/>
      <c r="F39" s="107">
        <f>SUM(F40)</f>
        <v>127000</v>
      </c>
      <c r="G39" s="240">
        <f>SUM(G40)</f>
        <v>127000</v>
      </c>
      <c r="H39" s="240">
        <f>SUM(H40)</f>
        <v>72390</v>
      </c>
      <c r="I39" s="256">
        <f>H39/G39</f>
        <v>0.57</v>
      </c>
    </row>
    <row r="40" spans="1:9" ht="15.75" customHeight="1">
      <c r="A40" s="182" t="s">
        <v>8</v>
      </c>
      <c r="B40" s="28"/>
      <c r="C40" s="28" t="s">
        <v>9</v>
      </c>
      <c r="D40" s="28"/>
      <c r="E40" s="170"/>
      <c r="F40" s="144">
        <f>F41+F42</f>
        <v>127000</v>
      </c>
      <c r="G40" s="243">
        <f>G41+G42</f>
        <v>127000</v>
      </c>
      <c r="H40" s="243">
        <f>H41+H42</f>
        <v>72390</v>
      </c>
      <c r="I40" s="251">
        <f>H40/G40</f>
        <v>0.57</v>
      </c>
    </row>
    <row r="41" spans="1:9" ht="15.75" customHeight="1">
      <c r="A41" s="182"/>
      <c r="B41" s="29"/>
      <c r="C41" s="29" t="s">
        <v>48</v>
      </c>
      <c r="D41" s="29"/>
      <c r="E41" s="169" t="s">
        <v>81</v>
      </c>
      <c r="F41" s="144">
        <v>100000</v>
      </c>
      <c r="G41" s="243">
        <v>100000</v>
      </c>
      <c r="H41" s="243">
        <v>57000</v>
      </c>
      <c r="I41" s="251">
        <f>H41/G41</f>
        <v>0.57</v>
      </c>
    </row>
    <row r="42" spans="1:9" ht="15.75" customHeight="1">
      <c r="A42" s="182"/>
      <c r="B42" s="29"/>
      <c r="C42" s="29" t="s">
        <v>50</v>
      </c>
      <c r="D42" s="29"/>
      <c r="E42" s="169" t="s">
        <v>51</v>
      </c>
      <c r="F42" s="144">
        <v>27000</v>
      </c>
      <c r="G42" s="243">
        <v>27000</v>
      </c>
      <c r="H42" s="243">
        <v>15390</v>
      </c>
      <c r="I42" s="251">
        <f>H42/G42</f>
        <v>0.57</v>
      </c>
    </row>
    <row r="43" spans="1:9" ht="15.75" customHeight="1">
      <c r="A43" s="184"/>
      <c r="B43" s="29"/>
      <c r="C43" s="29"/>
      <c r="D43" s="29"/>
      <c r="E43" s="169"/>
      <c r="F43" s="144"/>
      <c r="G43" s="239"/>
      <c r="H43" s="239"/>
      <c r="I43" s="201"/>
    </row>
    <row r="44" spans="1:9" ht="15.75" customHeight="1">
      <c r="A44" s="180" t="s">
        <v>82</v>
      </c>
      <c r="B44" s="19"/>
      <c r="C44" s="19"/>
      <c r="D44" s="19"/>
      <c r="E44" s="172"/>
      <c r="F44" s="107">
        <f>SUM(F45)</f>
        <v>101600000</v>
      </c>
      <c r="G44" s="240">
        <f>SUM(G45)</f>
        <v>105834840</v>
      </c>
      <c r="H44" s="240">
        <f>SUM(H45)</f>
        <v>105575331</v>
      </c>
      <c r="I44" s="256">
        <f aca="true" t="shared" si="2" ref="I44:I50">H44/G44</f>
        <v>0.9975479813641708</v>
      </c>
    </row>
    <row r="45" spans="1:9" ht="15.75" customHeight="1">
      <c r="A45" s="182" t="s">
        <v>8</v>
      </c>
      <c r="B45" s="28"/>
      <c r="C45" s="28" t="s">
        <v>9</v>
      </c>
      <c r="D45" s="28"/>
      <c r="E45" s="170"/>
      <c r="F45" s="82">
        <f>F46+F49+F50</f>
        <v>101600000</v>
      </c>
      <c r="G45" s="241">
        <f>G46+G49+G50</f>
        <v>105834840</v>
      </c>
      <c r="H45" s="241">
        <f>H46+H49+H50</f>
        <v>105575331</v>
      </c>
      <c r="I45" s="257">
        <f t="shared" si="2"/>
        <v>0.9975479813641708</v>
      </c>
    </row>
    <row r="46" spans="1:9" ht="15.75" customHeight="1">
      <c r="A46" s="184"/>
      <c r="B46" s="29"/>
      <c r="C46" s="29" t="s">
        <v>48</v>
      </c>
      <c r="D46" s="29" t="s">
        <v>81</v>
      </c>
      <c r="E46" s="169"/>
      <c r="F46" s="144">
        <f>SUM(F47:F48)</f>
        <v>79140000</v>
      </c>
      <c r="G46" s="243">
        <f>SUM(G47:G48)</f>
        <v>81903594</v>
      </c>
      <c r="H46" s="243">
        <f>SUM(H47:H48)</f>
        <v>81903594</v>
      </c>
      <c r="I46" s="252">
        <f t="shared" si="2"/>
        <v>1</v>
      </c>
    </row>
    <row r="47" spans="1:9" ht="15.75" customHeight="1">
      <c r="A47" s="184"/>
      <c r="B47" s="29"/>
      <c r="C47" s="29"/>
      <c r="D47" s="29"/>
      <c r="E47" s="169" t="s">
        <v>83</v>
      </c>
      <c r="F47" s="109">
        <v>78740000</v>
      </c>
      <c r="G47" s="244">
        <v>81503594</v>
      </c>
      <c r="H47" s="244">
        <v>81375834</v>
      </c>
      <c r="I47" s="252">
        <f t="shared" si="2"/>
        <v>0.998432461763588</v>
      </c>
    </row>
    <row r="48" spans="1:9" ht="15.75" customHeight="1">
      <c r="A48" s="184"/>
      <c r="B48" s="29"/>
      <c r="C48" s="29"/>
      <c r="D48" s="29"/>
      <c r="E48" s="169" t="s">
        <v>84</v>
      </c>
      <c r="F48" s="144">
        <v>400000</v>
      </c>
      <c r="G48" s="243">
        <v>400000</v>
      </c>
      <c r="H48" s="243">
        <v>527760</v>
      </c>
      <c r="I48" s="252">
        <f t="shared" si="2"/>
        <v>1.3194</v>
      </c>
    </row>
    <row r="49" spans="1:9" ht="15.75" customHeight="1">
      <c r="A49" s="184"/>
      <c r="B49" s="29"/>
      <c r="C49" s="29" t="s">
        <v>85</v>
      </c>
      <c r="D49" s="29" t="s">
        <v>86</v>
      </c>
      <c r="E49" s="169"/>
      <c r="F49" s="144">
        <v>1200000</v>
      </c>
      <c r="G49" s="243">
        <v>1543128</v>
      </c>
      <c r="H49" s="243">
        <v>1338789</v>
      </c>
      <c r="I49" s="252">
        <f t="shared" si="2"/>
        <v>0.8675813023935798</v>
      </c>
    </row>
    <row r="50" spans="1:9" ht="15.75" customHeight="1">
      <c r="A50" s="184"/>
      <c r="B50" s="29"/>
      <c r="C50" s="29" t="s">
        <v>50</v>
      </c>
      <c r="D50" s="29" t="s">
        <v>51</v>
      </c>
      <c r="E50" s="169"/>
      <c r="F50" s="109">
        <v>21260000</v>
      </c>
      <c r="G50" s="244">
        <v>22388118</v>
      </c>
      <c r="H50" s="244">
        <v>22332948</v>
      </c>
      <c r="I50" s="252">
        <f t="shared" si="2"/>
        <v>0.9975357464169163</v>
      </c>
    </row>
    <row r="51" spans="1:9" ht="15.75" customHeight="1">
      <c r="A51" s="184"/>
      <c r="B51" s="29"/>
      <c r="C51" s="29"/>
      <c r="D51" s="29"/>
      <c r="E51" s="169"/>
      <c r="F51" s="144"/>
      <c r="G51" s="239"/>
      <c r="H51" s="239"/>
      <c r="I51" s="201"/>
    </row>
    <row r="52" spans="1:9" ht="15.75" customHeight="1">
      <c r="A52" s="187" t="s">
        <v>87</v>
      </c>
      <c r="B52" s="30"/>
      <c r="C52" s="30"/>
      <c r="D52" s="30"/>
      <c r="E52" s="171"/>
      <c r="F52" s="107">
        <f aca="true" t="shared" si="3" ref="F52:H53">F53</f>
        <v>94257195</v>
      </c>
      <c r="G52" s="240">
        <f t="shared" si="3"/>
        <v>105251253</v>
      </c>
      <c r="H52" s="240">
        <f t="shared" si="3"/>
        <v>105251253</v>
      </c>
      <c r="I52" s="256">
        <f>H52/G52</f>
        <v>1</v>
      </c>
    </row>
    <row r="53" spans="1:9" ht="15.75" customHeight="1">
      <c r="A53" s="182" t="s">
        <v>4</v>
      </c>
      <c r="B53" s="28"/>
      <c r="C53" s="28" t="s">
        <v>5</v>
      </c>
      <c r="D53" s="28"/>
      <c r="E53" s="169"/>
      <c r="F53" s="82">
        <f t="shared" si="3"/>
        <v>94257195</v>
      </c>
      <c r="G53" s="241">
        <f t="shared" si="3"/>
        <v>105251253</v>
      </c>
      <c r="H53" s="241">
        <f t="shared" si="3"/>
        <v>105251253</v>
      </c>
      <c r="I53" s="258">
        <f aca="true" t="shared" si="4" ref="I53:I59">H53/G53</f>
        <v>1</v>
      </c>
    </row>
    <row r="54" spans="1:9" ht="15.75" customHeight="1">
      <c r="A54" s="184"/>
      <c r="B54" s="29" t="s">
        <v>88</v>
      </c>
      <c r="C54" s="29"/>
      <c r="D54" s="29" t="s">
        <v>89</v>
      </c>
      <c r="E54" s="169"/>
      <c r="F54" s="144">
        <f>SUM(F55:F59)</f>
        <v>94257195</v>
      </c>
      <c r="G54" s="243">
        <f>SUM(G55:G60)</f>
        <v>105251253</v>
      </c>
      <c r="H54" s="243">
        <f>SUM(H55:H60)</f>
        <v>105251253</v>
      </c>
      <c r="I54" s="253">
        <f t="shared" si="4"/>
        <v>1</v>
      </c>
    </row>
    <row r="55" spans="1:9" ht="15.75" customHeight="1">
      <c r="A55" s="182"/>
      <c r="B55" s="28"/>
      <c r="C55" s="29" t="s">
        <v>90</v>
      </c>
      <c r="D55" s="29" t="s">
        <v>91</v>
      </c>
      <c r="E55" s="169"/>
      <c r="F55" s="144">
        <v>51183073</v>
      </c>
      <c r="G55" s="243">
        <v>32805563</v>
      </c>
      <c r="H55" s="243">
        <v>32805563</v>
      </c>
      <c r="I55" s="253">
        <f t="shared" si="4"/>
        <v>1</v>
      </c>
    </row>
    <row r="56" spans="1:9" ht="15.75" customHeight="1">
      <c r="A56" s="184"/>
      <c r="B56" s="29"/>
      <c r="C56" s="29" t="s">
        <v>92</v>
      </c>
      <c r="D56" s="29" t="s">
        <v>93</v>
      </c>
      <c r="E56" s="169"/>
      <c r="F56" s="144">
        <v>22663270</v>
      </c>
      <c r="G56" s="243">
        <v>24245820</v>
      </c>
      <c r="H56" s="243">
        <v>24245820</v>
      </c>
      <c r="I56" s="253">
        <f t="shared" si="4"/>
        <v>1</v>
      </c>
    </row>
    <row r="57" spans="1:9" ht="15.75" customHeight="1">
      <c r="A57" s="184"/>
      <c r="B57" s="29"/>
      <c r="C57" s="29" t="s">
        <v>410</v>
      </c>
      <c r="D57" s="29" t="s">
        <v>412</v>
      </c>
      <c r="E57" s="169"/>
      <c r="F57" s="144">
        <v>18610852</v>
      </c>
      <c r="G57" s="243">
        <v>2974000</v>
      </c>
      <c r="H57" s="243">
        <v>2974000</v>
      </c>
      <c r="I57" s="253">
        <f t="shared" si="4"/>
        <v>1</v>
      </c>
    </row>
    <row r="58" spans="1:9" ht="15.75" customHeight="1">
      <c r="A58" s="184"/>
      <c r="B58" s="29"/>
      <c r="C58" s="29" t="s">
        <v>411</v>
      </c>
      <c r="D58" s="29" t="s">
        <v>413</v>
      </c>
      <c r="E58" s="169"/>
      <c r="F58" s="144"/>
      <c r="G58" s="243">
        <v>16105680</v>
      </c>
      <c r="H58" s="243">
        <v>16105680</v>
      </c>
      <c r="I58" s="253">
        <f t="shared" si="4"/>
        <v>1</v>
      </c>
    </row>
    <row r="59" spans="1:9" ht="15.75" customHeight="1">
      <c r="A59" s="184"/>
      <c r="B59" s="29"/>
      <c r="C59" s="29" t="s">
        <v>94</v>
      </c>
      <c r="D59" s="29" t="s">
        <v>95</v>
      </c>
      <c r="E59" s="169"/>
      <c r="F59" s="108">
        <v>1800000</v>
      </c>
      <c r="G59" s="242">
        <v>2502390</v>
      </c>
      <c r="H59" s="242">
        <v>2502390</v>
      </c>
      <c r="I59" s="253">
        <f t="shared" si="4"/>
        <v>1</v>
      </c>
    </row>
    <row r="60" spans="1:9" ht="15.75" customHeight="1">
      <c r="A60" s="184"/>
      <c r="B60" s="29"/>
      <c r="C60" s="29" t="s">
        <v>96</v>
      </c>
      <c r="D60" s="29" t="s">
        <v>427</v>
      </c>
      <c r="E60" s="169"/>
      <c r="F60" s="108">
        <v>0</v>
      </c>
      <c r="G60" s="242">
        <v>26617800</v>
      </c>
      <c r="H60" s="242">
        <v>26617800</v>
      </c>
      <c r="I60" s="253">
        <f>H60/G60</f>
        <v>1</v>
      </c>
    </row>
    <row r="61" spans="1:9" ht="15.75" customHeight="1">
      <c r="A61" s="184"/>
      <c r="B61" s="29"/>
      <c r="C61" s="29"/>
      <c r="D61" s="29"/>
      <c r="E61" s="169"/>
      <c r="F61" s="108"/>
      <c r="G61" s="239"/>
      <c r="H61" s="239"/>
      <c r="I61" s="201"/>
    </row>
    <row r="62" spans="1:9" ht="15.75" customHeight="1">
      <c r="A62" s="187" t="s">
        <v>99</v>
      </c>
      <c r="B62" s="30"/>
      <c r="C62" s="30"/>
      <c r="D62" s="30"/>
      <c r="E62" s="171"/>
      <c r="F62" s="107">
        <f aca="true" t="shared" si="5" ref="F62:H63">F63</f>
        <v>6000000</v>
      </c>
      <c r="G62" s="240">
        <f t="shared" si="5"/>
        <v>7022227</v>
      </c>
      <c r="H62" s="240">
        <f t="shared" si="5"/>
        <v>7022227</v>
      </c>
      <c r="I62" s="256">
        <f>H62/G62</f>
        <v>1</v>
      </c>
    </row>
    <row r="63" spans="1:9" ht="15.75" customHeight="1">
      <c r="A63" s="182" t="s">
        <v>20</v>
      </c>
      <c r="B63" s="28"/>
      <c r="C63" s="28" t="s">
        <v>19</v>
      </c>
      <c r="D63" s="28"/>
      <c r="E63" s="169"/>
      <c r="F63" s="144">
        <f t="shared" si="5"/>
        <v>6000000</v>
      </c>
      <c r="G63" s="243">
        <f t="shared" si="5"/>
        <v>7022227</v>
      </c>
      <c r="H63" s="243">
        <f t="shared" si="5"/>
        <v>7022227</v>
      </c>
      <c r="I63" s="251">
        <f>H63/G63</f>
        <v>1</v>
      </c>
    </row>
    <row r="64" spans="1:9" ht="15.75" customHeight="1">
      <c r="A64" s="184"/>
      <c r="B64" s="29"/>
      <c r="C64" s="29" t="s">
        <v>100</v>
      </c>
      <c r="D64" s="29"/>
      <c r="E64" s="169" t="s">
        <v>101</v>
      </c>
      <c r="F64" s="144">
        <v>6000000</v>
      </c>
      <c r="G64" s="243">
        <v>7022227</v>
      </c>
      <c r="H64" s="243">
        <v>7022227</v>
      </c>
      <c r="I64" s="251">
        <f>H64/G64</f>
        <v>1</v>
      </c>
    </row>
    <row r="65" spans="1:9" ht="15.75" customHeight="1">
      <c r="A65" s="184"/>
      <c r="B65" s="29"/>
      <c r="C65" s="29"/>
      <c r="D65" s="29"/>
      <c r="E65" s="169"/>
      <c r="F65" s="108"/>
      <c r="G65" s="239"/>
      <c r="H65" s="239"/>
      <c r="I65" s="201"/>
    </row>
    <row r="66" spans="1:9" ht="15.75" customHeight="1">
      <c r="A66" s="187" t="s">
        <v>102</v>
      </c>
      <c r="B66" s="30"/>
      <c r="C66" s="30"/>
      <c r="D66" s="30"/>
      <c r="E66" s="171"/>
      <c r="F66" s="107">
        <f>F67+F71</f>
        <v>230273145</v>
      </c>
      <c r="G66" s="240">
        <f>G67+G71</f>
        <v>107552045</v>
      </c>
      <c r="H66" s="240">
        <f>H67+H71</f>
        <v>107552045</v>
      </c>
      <c r="I66" s="256">
        <f>H66/G66</f>
        <v>1</v>
      </c>
    </row>
    <row r="67" spans="1:9" ht="15.75" customHeight="1">
      <c r="A67" s="182" t="s">
        <v>4</v>
      </c>
      <c r="B67" s="28"/>
      <c r="C67" s="28" t="s">
        <v>5</v>
      </c>
      <c r="D67" s="28"/>
      <c r="E67" s="169"/>
      <c r="F67" s="110">
        <f>F68</f>
        <v>6963988</v>
      </c>
      <c r="G67" s="245">
        <f>G68</f>
        <v>6970940</v>
      </c>
      <c r="H67" s="245">
        <f>H68</f>
        <v>6970940</v>
      </c>
      <c r="I67" s="255">
        <f aca="true" t="shared" si="6" ref="I67:I72">H67/G67</f>
        <v>1</v>
      </c>
    </row>
    <row r="68" spans="1:9" ht="15.75" customHeight="1">
      <c r="A68" s="184"/>
      <c r="B68" s="29" t="s">
        <v>46</v>
      </c>
      <c r="C68" s="29"/>
      <c r="D68" s="29" t="s">
        <v>103</v>
      </c>
      <c r="E68" s="169"/>
      <c r="F68" s="108">
        <f>F69+F70</f>
        <v>6963988</v>
      </c>
      <c r="G68" s="242">
        <f>G69+G70</f>
        <v>6970940</v>
      </c>
      <c r="H68" s="242">
        <f>H69+H70</f>
        <v>6970940</v>
      </c>
      <c r="I68" s="251">
        <f t="shared" si="6"/>
        <v>1</v>
      </c>
    </row>
    <row r="69" spans="1:9" ht="15.75" customHeight="1">
      <c r="A69" s="192"/>
      <c r="B69" s="31"/>
      <c r="C69" s="31"/>
      <c r="D69" s="31"/>
      <c r="E69" s="173" t="s">
        <v>104</v>
      </c>
      <c r="F69" s="108">
        <v>1359988</v>
      </c>
      <c r="G69" s="242">
        <v>69540</v>
      </c>
      <c r="H69" s="242">
        <v>69540</v>
      </c>
      <c r="I69" s="251">
        <f t="shared" si="6"/>
        <v>1</v>
      </c>
    </row>
    <row r="70" spans="1:9" ht="15.75" customHeight="1">
      <c r="A70" s="192"/>
      <c r="B70" s="32" t="s">
        <v>46</v>
      </c>
      <c r="C70" s="31"/>
      <c r="D70" s="31"/>
      <c r="E70" s="169" t="s">
        <v>346</v>
      </c>
      <c r="F70" s="108">
        <v>5604000</v>
      </c>
      <c r="G70" s="242">
        <v>6901400</v>
      </c>
      <c r="H70" s="242">
        <v>6901400</v>
      </c>
      <c r="I70" s="251">
        <f t="shared" si="6"/>
        <v>1</v>
      </c>
    </row>
    <row r="71" spans="1:9" ht="15.75" customHeight="1">
      <c r="A71" s="182" t="s">
        <v>20</v>
      </c>
      <c r="B71" s="28"/>
      <c r="C71" s="28" t="s">
        <v>19</v>
      </c>
      <c r="D71" s="28"/>
      <c r="E71" s="170"/>
      <c r="F71" s="82">
        <f>SUM(F72)</f>
        <v>223309157</v>
      </c>
      <c r="G71" s="241">
        <f>SUM(G72)</f>
        <v>100581105</v>
      </c>
      <c r="H71" s="241">
        <f>SUM(H72)</f>
        <v>100581105</v>
      </c>
      <c r="I71" s="255">
        <f t="shared" si="6"/>
        <v>1</v>
      </c>
    </row>
    <row r="72" spans="1:9" ht="15.75" customHeight="1">
      <c r="A72" s="184"/>
      <c r="B72" s="29" t="s">
        <v>105</v>
      </c>
      <c r="C72" s="29"/>
      <c r="D72" s="29" t="s">
        <v>106</v>
      </c>
      <c r="E72" s="169"/>
      <c r="F72" s="144">
        <f>F73</f>
        <v>223309157</v>
      </c>
      <c r="G72" s="243">
        <f>G73</f>
        <v>100581105</v>
      </c>
      <c r="H72" s="243">
        <f>H73</f>
        <v>100581105</v>
      </c>
      <c r="I72" s="251">
        <f t="shared" si="6"/>
        <v>1</v>
      </c>
    </row>
    <row r="73" spans="1:9" ht="15.75" customHeight="1">
      <c r="A73" s="184"/>
      <c r="B73" s="29"/>
      <c r="C73" s="29" t="s">
        <v>107</v>
      </c>
      <c r="D73" s="29"/>
      <c r="E73" s="169" t="s">
        <v>108</v>
      </c>
      <c r="F73" s="144">
        <v>223309157</v>
      </c>
      <c r="G73" s="243">
        <v>100581105</v>
      </c>
      <c r="H73" s="243">
        <v>100581105</v>
      </c>
      <c r="I73" s="251">
        <f>H73/G73</f>
        <v>1</v>
      </c>
    </row>
    <row r="74" spans="1:9" ht="15.75" customHeight="1">
      <c r="A74" s="184"/>
      <c r="B74" s="29"/>
      <c r="C74" s="29"/>
      <c r="D74" s="29"/>
      <c r="E74" s="169"/>
      <c r="F74" s="144"/>
      <c r="G74" s="239"/>
      <c r="H74" s="239"/>
      <c r="I74" s="201"/>
    </row>
    <row r="75" spans="1:9" ht="15.75" customHeight="1">
      <c r="A75" s="180" t="s">
        <v>109</v>
      </c>
      <c r="B75" s="19"/>
      <c r="C75" s="19"/>
      <c r="D75" s="33"/>
      <c r="E75" s="174"/>
      <c r="F75" s="107">
        <f aca="true" t="shared" si="7" ref="F75:H76">F76</f>
        <v>2000000</v>
      </c>
      <c r="G75" s="240">
        <f t="shared" si="7"/>
        <v>400000</v>
      </c>
      <c r="H75" s="240">
        <f t="shared" si="7"/>
        <v>359589</v>
      </c>
      <c r="I75" s="256">
        <f>H75/G75</f>
        <v>0.8989725</v>
      </c>
    </row>
    <row r="76" spans="1:9" ht="15.75" customHeight="1">
      <c r="A76" s="182" t="s">
        <v>4</v>
      </c>
      <c r="B76" s="28"/>
      <c r="C76" s="28" t="s">
        <v>5</v>
      </c>
      <c r="D76" s="28"/>
      <c r="E76" s="169"/>
      <c r="F76" s="144">
        <f t="shared" si="7"/>
        <v>2000000</v>
      </c>
      <c r="G76" s="243">
        <f t="shared" si="7"/>
        <v>400000</v>
      </c>
      <c r="H76" s="243">
        <f t="shared" si="7"/>
        <v>359589</v>
      </c>
      <c r="I76" s="251">
        <f>H76/G76</f>
        <v>0.8989725</v>
      </c>
    </row>
    <row r="77" spans="1:9" ht="15.75" customHeight="1">
      <c r="A77" s="184"/>
      <c r="B77" s="29" t="s">
        <v>46</v>
      </c>
      <c r="C77" s="29"/>
      <c r="D77" s="29" t="s">
        <v>103</v>
      </c>
      <c r="E77" s="169"/>
      <c r="F77" s="144">
        <v>2000000</v>
      </c>
      <c r="G77" s="243">
        <v>400000</v>
      </c>
      <c r="H77" s="243">
        <v>359589</v>
      </c>
      <c r="I77" s="251">
        <f>H77/G77</f>
        <v>0.8989725</v>
      </c>
    </row>
    <row r="78" spans="1:9" ht="15.75" customHeight="1">
      <c r="A78" s="184"/>
      <c r="B78" s="29"/>
      <c r="C78" s="29"/>
      <c r="D78" s="29"/>
      <c r="E78" s="169"/>
      <c r="F78" s="144"/>
      <c r="G78" s="239"/>
      <c r="H78" s="239"/>
      <c r="I78" s="201"/>
    </row>
    <row r="79" spans="1:9" ht="15.75" customHeight="1">
      <c r="A79" s="180" t="s">
        <v>382</v>
      </c>
      <c r="B79" s="19"/>
      <c r="C79" s="19"/>
      <c r="D79" s="33"/>
      <c r="E79" s="174"/>
      <c r="F79" s="107">
        <f>F81</f>
        <v>9984740</v>
      </c>
      <c r="G79" s="240">
        <f>G81</f>
        <v>7488555</v>
      </c>
      <c r="H79" s="240">
        <f>H81</f>
        <v>7488555</v>
      </c>
      <c r="I79" s="256">
        <f>H79/G79</f>
        <v>1</v>
      </c>
    </row>
    <row r="80" spans="1:9" ht="15.75" customHeight="1">
      <c r="A80" s="182" t="s">
        <v>4</v>
      </c>
      <c r="B80" s="28"/>
      <c r="C80" s="28" t="s">
        <v>5</v>
      </c>
      <c r="D80" s="28"/>
      <c r="E80" s="169"/>
      <c r="F80" s="147">
        <f>SUM(F81)</f>
        <v>9984740</v>
      </c>
      <c r="G80" s="246">
        <f>SUM(G81)</f>
        <v>7488555</v>
      </c>
      <c r="H80" s="246">
        <f>SUM(H81)</f>
        <v>7488555</v>
      </c>
      <c r="I80" s="255">
        <f>H80/G80</f>
        <v>1</v>
      </c>
    </row>
    <row r="81" spans="1:9" ht="15.75" customHeight="1">
      <c r="A81" s="184"/>
      <c r="B81" s="29" t="s">
        <v>46</v>
      </c>
      <c r="C81" s="29"/>
      <c r="D81" s="29" t="s">
        <v>103</v>
      </c>
      <c r="E81" s="169"/>
      <c r="F81" s="144">
        <v>9984740</v>
      </c>
      <c r="G81" s="243">
        <v>7488555</v>
      </c>
      <c r="H81" s="243">
        <v>7488555</v>
      </c>
      <c r="I81" s="251">
        <f>H81/G81</f>
        <v>1</v>
      </c>
    </row>
    <row r="82" spans="1:9" ht="15.75" customHeight="1">
      <c r="A82" s="184"/>
      <c r="B82" s="29"/>
      <c r="C82" s="29"/>
      <c r="D82" s="29"/>
      <c r="E82" s="169"/>
      <c r="F82" s="144"/>
      <c r="G82" s="239"/>
      <c r="H82" s="239"/>
      <c r="I82" s="201"/>
    </row>
    <row r="83" spans="1:9" ht="15.75" customHeight="1">
      <c r="A83" s="180" t="s">
        <v>329</v>
      </c>
      <c r="B83" s="19"/>
      <c r="C83" s="19"/>
      <c r="D83" s="33"/>
      <c r="E83" s="174"/>
      <c r="F83" s="107">
        <f>F84</f>
        <v>508000</v>
      </c>
      <c r="G83" s="240">
        <f>G84</f>
        <v>508000</v>
      </c>
      <c r="H83" s="240">
        <f>H84</f>
        <v>520000</v>
      </c>
      <c r="I83" s="256">
        <f>H83/G83</f>
        <v>1.0236220472440944</v>
      </c>
    </row>
    <row r="84" spans="1:9" ht="15.75" customHeight="1">
      <c r="A84" s="182" t="s">
        <v>8</v>
      </c>
      <c r="B84" s="28"/>
      <c r="C84" s="28" t="s">
        <v>9</v>
      </c>
      <c r="D84" s="28"/>
      <c r="E84" s="170"/>
      <c r="F84" s="82">
        <f>SUM(F85:F86)</f>
        <v>508000</v>
      </c>
      <c r="G84" s="241">
        <f>SUM(G85:G86)</f>
        <v>508000</v>
      </c>
      <c r="H84" s="241">
        <f>SUM(H85:H86)</f>
        <v>520000</v>
      </c>
      <c r="I84" s="255">
        <f>H84/G84</f>
        <v>1.0236220472440944</v>
      </c>
    </row>
    <row r="85" spans="1:9" ht="15.75" customHeight="1">
      <c r="A85" s="184"/>
      <c r="B85" s="29"/>
      <c r="C85" s="29" t="s">
        <v>48</v>
      </c>
      <c r="D85" s="29" t="s">
        <v>117</v>
      </c>
      <c r="E85" s="169"/>
      <c r="F85" s="144">
        <v>400000</v>
      </c>
      <c r="G85" s="243">
        <f>400000</f>
        <v>400000</v>
      </c>
      <c r="H85" s="243">
        <v>409449</v>
      </c>
      <c r="I85" s="251">
        <f>H85/G85</f>
        <v>1.0236225</v>
      </c>
    </row>
    <row r="86" spans="1:9" ht="15.75" customHeight="1">
      <c r="A86" s="184"/>
      <c r="B86" s="29"/>
      <c r="C86" s="29" t="s">
        <v>50</v>
      </c>
      <c r="D86" s="29" t="s">
        <v>51</v>
      </c>
      <c r="E86" s="169"/>
      <c r="F86" s="144">
        <v>108000</v>
      </c>
      <c r="G86" s="243">
        <v>108000</v>
      </c>
      <c r="H86" s="243">
        <v>110551</v>
      </c>
      <c r="I86" s="251">
        <f>H86/G86</f>
        <v>1.0236203703703703</v>
      </c>
    </row>
    <row r="87" spans="1:9" ht="15.75" customHeight="1">
      <c r="A87" s="184"/>
      <c r="B87" s="29"/>
      <c r="C87" s="29"/>
      <c r="D87" s="29"/>
      <c r="E87" s="169"/>
      <c r="F87" s="144"/>
      <c r="G87" s="239"/>
      <c r="H87" s="239"/>
      <c r="I87" s="201"/>
    </row>
    <row r="88" spans="1:9" ht="15.75" customHeight="1">
      <c r="A88" s="180" t="s">
        <v>110</v>
      </c>
      <c r="B88" s="19"/>
      <c r="C88" s="19"/>
      <c r="D88" s="19"/>
      <c r="E88" s="172"/>
      <c r="F88" s="107">
        <f>F89+F92</f>
        <v>53754000</v>
      </c>
      <c r="G88" s="240">
        <f>G89+G92</f>
        <v>53830745</v>
      </c>
      <c r="H88" s="240">
        <f>H89+H92</f>
        <v>54017405</v>
      </c>
      <c r="I88" s="256">
        <f aca="true" t="shared" si="8" ref="I88:I93">H88/G88</f>
        <v>1.0034675351418598</v>
      </c>
    </row>
    <row r="89" spans="1:9" ht="15.75" customHeight="1">
      <c r="A89" s="182" t="s">
        <v>8</v>
      </c>
      <c r="B89" s="28"/>
      <c r="C89" s="28" t="s">
        <v>9</v>
      </c>
      <c r="D89" s="28"/>
      <c r="E89" s="170"/>
      <c r="F89" s="82">
        <f>SUM(F90:F91)</f>
        <v>254000</v>
      </c>
      <c r="G89" s="241">
        <f>SUM(G90:G91)</f>
        <v>330745</v>
      </c>
      <c r="H89" s="241">
        <f>SUM(H90:H91)</f>
        <v>517405</v>
      </c>
      <c r="I89" s="255">
        <f t="shared" si="8"/>
        <v>1.5643622730502351</v>
      </c>
    </row>
    <row r="90" spans="1:9" ht="15.75" customHeight="1">
      <c r="A90" s="184"/>
      <c r="B90" s="29"/>
      <c r="C90" s="29" t="s">
        <v>111</v>
      </c>
      <c r="D90" s="29" t="s">
        <v>112</v>
      </c>
      <c r="E90" s="169"/>
      <c r="F90" s="144">
        <v>200000</v>
      </c>
      <c r="G90" s="243">
        <v>220745</v>
      </c>
      <c r="H90" s="243">
        <v>407405</v>
      </c>
      <c r="I90" s="251">
        <f t="shared" si="8"/>
        <v>1.8455910666153255</v>
      </c>
    </row>
    <row r="91" spans="1:9" ht="15.75" customHeight="1">
      <c r="A91" s="184"/>
      <c r="B91" s="29"/>
      <c r="C91" s="29" t="s">
        <v>50</v>
      </c>
      <c r="D91" s="29" t="s">
        <v>51</v>
      </c>
      <c r="E91" s="169"/>
      <c r="F91" s="144">
        <v>54000</v>
      </c>
      <c r="G91" s="243">
        <v>110000</v>
      </c>
      <c r="H91" s="243">
        <v>110000</v>
      </c>
      <c r="I91" s="251">
        <f t="shared" si="8"/>
        <v>1</v>
      </c>
    </row>
    <row r="92" spans="1:9" ht="15.75" customHeight="1">
      <c r="A92" s="182" t="s">
        <v>17</v>
      </c>
      <c r="B92" s="28"/>
      <c r="C92" s="28" t="s">
        <v>16</v>
      </c>
      <c r="D92" s="29"/>
      <c r="E92" s="169"/>
      <c r="F92" s="82">
        <f>SUM(F93)</f>
        <v>53500000</v>
      </c>
      <c r="G92" s="241">
        <f>SUM(G93)</f>
        <v>53500000</v>
      </c>
      <c r="H92" s="241">
        <f>SUM(H93)</f>
        <v>53500000</v>
      </c>
      <c r="I92" s="255">
        <f t="shared" si="8"/>
        <v>1</v>
      </c>
    </row>
    <row r="93" spans="1:9" ht="15.75" customHeight="1">
      <c r="A93" s="184"/>
      <c r="B93" s="29"/>
      <c r="C93" s="29" t="s">
        <v>378</v>
      </c>
      <c r="D93" s="29" t="s">
        <v>379</v>
      </c>
      <c r="E93" s="169"/>
      <c r="F93" s="144">
        <v>53500000</v>
      </c>
      <c r="G93" s="243">
        <v>53500000</v>
      </c>
      <c r="H93" s="243">
        <v>53500000</v>
      </c>
      <c r="I93" s="251">
        <f t="shared" si="8"/>
        <v>1</v>
      </c>
    </row>
    <row r="94" spans="1:9" ht="15.75" customHeight="1">
      <c r="A94" s="184"/>
      <c r="B94" s="29"/>
      <c r="C94" s="29"/>
      <c r="D94" s="29"/>
      <c r="E94" s="169"/>
      <c r="F94" s="144"/>
      <c r="G94" s="243"/>
      <c r="H94" s="243"/>
      <c r="I94" s="243"/>
    </row>
    <row r="95" spans="1:9" ht="15.75" customHeight="1">
      <c r="A95" s="193" t="s">
        <v>359</v>
      </c>
      <c r="B95" s="104"/>
      <c r="C95" s="104"/>
      <c r="D95" s="104"/>
      <c r="E95" s="175"/>
      <c r="F95" s="86">
        <f>F96</f>
        <v>0</v>
      </c>
      <c r="G95" s="247">
        <f>G96</f>
        <v>12374828</v>
      </c>
      <c r="H95" s="247">
        <f>H96</f>
        <v>12374828</v>
      </c>
      <c r="I95" s="256">
        <f>H95/G95</f>
        <v>1</v>
      </c>
    </row>
    <row r="96" spans="1:9" ht="15.75" customHeight="1">
      <c r="A96" s="182" t="s">
        <v>13</v>
      </c>
      <c r="B96" s="29"/>
      <c r="C96" s="357" t="s">
        <v>14</v>
      </c>
      <c r="D96" s="358"/>
      <c r="E96" s="358"/>
      <c r="F96" s="144"/>
      <c r="G96" s="243">
        <f>SUM(G97:G98)</f>
        <v>12374828</v>
      </c>
      <c r="H96" s="243">
        <f>SUM(H97:H98)</f>
        <v>12374828</v>
      </c>
      <c r="I96" s="251">
        <f>H96/G96</f>
        <v>1</v>
      </c>
    </row>
    <row r="97" spans="1:9" ht="15.75" customHeight="1">
      <c r="A97" s="184"/>
      <c r="B97" s="29" t="s">
        <v>395</v>
      </c>
      <c r="C97" s="28"/>
      <c r="D97" s="360" t="s">
        <v>420</v>
      </c>
      <c r="E97" s="361"/>
      <c r="F97" s="144"/>
      <c r="G97" s="243">
        <v>8392845</v>
      </c>
      <c r="H97" s="243">
        <v>8392845</v>
      </c>
      <c r="I97" s="251">
        <f>H97/G97</f>
        <v>1</v>
      </c>
    </row>
    <row r="98" spans="1:9" ht="33.75" customHeight="1">
      <c r="A98" s="184"/>
      <c r="B98" s="29" t="s">
        <v>437</v>
      </c>
      <c r="C98" s="28"/>
      <c r="D98" s="362" t="s">
        <v>436</v>
      </c>
      <c r="E98" s="363"/>
      <c r="F98" s="144"/>
      <c r="G98" s="243">
        <v>3981983</v>
      </c>
      <c r="H98" s="243">
        <v>3981983</v>
      </c>
      <c r="I98" s="251">
        <f>H98/G98</f>
        <v>1</v>
      </c>
    </row>
    <row r="99" spans="1:9" ht="15.75" customHeight="1">
      <c r="A99" s="184"/>
      <c r="B99" s="29"/>
      <c r="C99" s="29"/>
      <c r="D99" s="29"/>
      <c r="E99" s="169"/>
      <c r="F99" s="144"/>
      <c r="G99" s="243"/>
      <c r="H99" s="243"/>
      <c r="I99" s="243"/>
    </row>
    <row r="100" spans="1:9" ht="15.75" customHeight="1">
      <c r="A100" s="180" t="s">
        <v>392</v>
      </c>
      <c r="B100" s="19"/>
      <c r="C100" s="19"/>
      <c r="D100" s="19"/>
      <c r="E100" s="172"/>
      <c r="F100" s="107">
        <v>0</v>
      </c>
      <c r="G100" s="240">
        <f>G101+G104+G106+G108</f>
        <v>50660681</v>
      </c>
      <c r="H100" s="240">
        <f>H101+H104+H106+H108</f>
        <v>50835566</v>
      </c>
      <c r="I100" s="256">
        <f>H100/G100</f>
        <v>1.0034520854545954</v>
      </c>
    </row>
    <row r="101" spans="1:9" ht="15.75" customHeight="1">
      <c r="A101" s="182" t="s">
        <v>4</v>
      </c>
      <c r="B101" s="28"/>
      <c r="C101" s="28" t="s">
        <v>5</v>
      </c>
      <c r="D101" s="28"/>
      <c r="E101" s="169"/>
      <c r="F101" s="144"/>
      <c r="G101" s="241">
        <f>SUM(G102)</f>
        <v>1328319</v>
      </c>
      <c r="H101" s="241">
        <f>SUM(H102)</f>
        <v>1328319</v>
      </c>
      <c r="I101" s="255">
        <f aca="true" t="shared" si="9" ref="I101:I108">H101/G101</f>
        <v>1</v>
      </c>
    </row>
    <row r="102" spans="1:9" ht="15.75" customHeight="1">
      <c r="A102" s="184"/>
      <c r="B102" s="29" t="s">
        <v>46</v>
      </c>
      <c r="C102" s="29"/>
      <c r="D102" s="29" t="s">
        <v>103</v>
      </c>
      <c r="E102" s="169"/>
      <c r="F102" s="144"/>
      <c r="G102" s="243">
        <f>SUM(G103)</f>
        <v>1328319</v>
      </c>
      <c r="H102" s="243">
        <f>SUM(H103)</f>
        <v>1328319</v>
      </c>
      <c r="I102" s="251">
        <f t="shared" si="9"/>
        <v>1</v>
      </c>
    </row>
    <row r="103" spans="1:9" ht="29.25" customHeight="1">
      <c r="A103" s="192"/>
      <c r="B103" s="31"/>
      <c r="C103" s="31"/>
      <c r="D103" s="345" t="s">
        <v>394</v>
      </c>
      <c r="E103" s="346"/>
      <c r="F103" s="144"/>
      <c r="G103" s="243">
        <v>1328319</v>
      </c>
      <c r="H103" s="243">
        <v>1328319</v>
      </c>
      <c r="I103" s="251">
        <f t="shared" si="9"/>
        <v>1</v>
      </c>
    </row>
    <row r="104" spans="1:9" ht="15.75">
      <c r="A104" s="182" t="s">
        <v>13</v>
      </c>
      <c r="B104" s="28"/>
      <c r="C104" s="28" t="s">
        <v>396</v>
      </c>
      <c r="D104" s="31"/>
      <c r="E104" s="176"/>
      <c r="F104" s="144"/>
      <c r="G104" s="241">
        <f>SUM(G105)</f>
        <v>29000000</v>
      </c>
      <c r="H104" s="241">
        <f>SUM(H105)</f>
        <v>29000000</v>
      </c>
      <c r="I104" s="255">
        <f t="shared" si="9"/>
        <v>1</v>
      </c>
    </row>
    <row r="105" spans="1:9" ht="15.75">
      <c r="A105" s="184"/>
      <c r="B105" s="29" t="s">
        <v>395</v>
      </c>
      <c r="C105" s="29"/>
      <c r="D105" s="32" t="s">
        <v>131</v>
      </c>
      <c r="E105" s="176"/>
      <c r="F105" s="144"/>
      <c r="G105" s="243">
        <v>29000000</v>
      </c>
      <c r="H105" s="243">
        <v>29000000</v>
      </c>
      <c r="I105" s="251">
        <f t="shared" si="9"/>
        <v>1</v>
      </c>
    </row>
    <row r="106" spans="1:9" ht="15.75">
      <c r="A106" s="182" t="s">
        <v>8</v>
      </c>
      <c r="B106" s="28"/>
      <c r="C106" s="28" t="s">
        <v>9</v>
      </c>
      <c r="D106" s="32"/>
      <c r="E106" s="176"/>
      <c r="F106" s="144"/>
      <c r="G106" s="241">
        <f>SUM(G107)</f>
        <v>19232362</v>
      </c>
      <c r="H106" s="241">
        <f>SUM(H107)</f>
        <v>19232362</v>
      </c>
      <c r="I106" s="255">
        <f t="shared" si="9"/>
        <v>1</v>
      </c>
    </row>
    <row r="107" spans="1:9" ht="15.75">
      <c r="A107" s="184"/>
      <c r="B107" s="29"/>
      <c r="C107" s="29" t="s">
        <v>397</v>
      </c>
      <c r="D107" s="32" t="s">
        <v>398</v>
      </c>
      <c r="E107" s="176"/>
      <c r="F107" s="144"/>
      <c r="G107" s="243">
        <f>16043386+3188976</f>
        <v>19232362</v>
      </c>
      <c r="H107" s="243">
        <f>16043386+3188976</f>
        <v>19232362</v>
      </c>
      <c r="I107" s="251">
        <f t="shared" si="9"/>
        <v>1</v>
      </c>
    </row>
    <row r="108" spans="1:9" ht="15.75">
      <c r="A108" s="182" t="s">
        <v>10</v>
      </c>
      <c r="B108" s="29"/>
      <c r="C108" s="28" t="s">
        <v>11</v>
      </c>
      <c r="D108" s="32"/>
      <c r="E108" s="176"/>
      <c r="F108" s="144"/>
      <c r="G108" s="241">
        <f>SUM(G109)</f>
        <v>1100000</v>
      </c>
      <c r="H108" s="241">
        <f>SUM(H109)</f>
        <v>1274885</v>
      </c>
      <c r="I108" s="255">
        <f t="shared" si="9"/>
        <v>1.1589863636363635</v>
      </c>
    </row>
    <row r="109" spans="1:9" ht="15.75">
      <c r="A109" s="184"/>
      <c r="B109" s="29" t="s">
        <v>399</v>
      </c>
      <c r="C109" s="29"/>
      <c r="D109" s="32" t="s">
        <v>400</v>
      </c>
      <c r="E109" s="176"/>
      <c r="F109" s="144"/>
      <c r="G109" s="243">
        <v>1100000</v>
      </c>
      <c r="H109" s="243">
        <v>1274885</v>
      </c>
      <c r="I109" s="251">
        <f>H109/G109</f>
        <v>1.1589863636363635</v>
      </c>
    </row>
    <row r="110" spans="1:9" ht="15.75">
      <c r="A110" s="184"/>
      <c r="B110" s="29"/>
      <c r="C110" s="29"/>
      <c r="D110" s="32"/>
      <c r="E110" s="176"/>
      <c r="F110" s="144"/>
      <c r="G110" s="243"/>
      <c r="H110" s="243"/>
      <c r="I110" s="243"/>
    </row>
    <row r="111" spans="1:9" ht="15.75">
      <c r="A111" s="193" t="s">
        <v>393</v>
      </c>
      <c r="B111" s="104"/>
      <c r="C111" s="104"/>
      <c r="D111" s="104"/>
      <c r="E111" s="175"/>
      <c r="F111" s="107">
        <f>SUM(F112)</f>
        <v>0</v>
      </c>
      <c r="G111" s="240">
        <f>SUM(G112)</f>
        <v>103000</v>
      </c>
      <c r="H111" s="240">
        <f>SUM(H112)</f>
        <v>103000</v>
      </c>
      <c r="I111" s="256">
        <f>H111/G111</f>
        <v>1</v>
      </c>
    </row>
    <row r="112" spans="1:9" ht="15.75">
      <c r="A112" s="182" t="s">
        <v>17</v>
      </c>
      <c r="B112" s="28"/>
      <c r="C112" s="28" t="s">
        <v>16</v>
      </c>
      <c r="D112" s="29"/>
      <c r="E112" s="169"/>
      <c r="F112" s="144"/>
      <c r="G112" s="243">
        <f>SUM(G113)</f>
        <v>103000</v>
      </c>
      <c r="H112" s="243">
        <f>SUM(H113)</f>
        <v>103000</v>
      </c>
      <c r="I112" s="251">
        <f>H112/G112</f>
        <v>1</v>
      </c>
    </row>
    <row r="113" spans="1:9" ht="15.75">
      <c r="A113" s="184"/>
      <c r="B113" s="29"/>
      <c r="C113" s="29" t="s">
        <v>378</v>
      </c>
      <c r="D113" s="29" t="s">
        <v>379</v>
      </c>
      <c r="E113" s="169"/>
      <c r="F113" s="144"/>
      <c r="G113" s="243">
        <v>103000</v>
      </c>
      <c r="H113" s="243">
        <v>103000</v>
      </c>
      <c r="I113" s="251">
        <f>H113/G113</f>
        <v>1</v>
      </c>
    </row>
    <row r="114" spans="1:9" ht="15.75" customHeight="1">
      <c r="A114" s="184"/>
      <c r="B114" s="29"/>
      <c r="C114" s="29"/>
      <c r="D114" s="29"/>
      <c r="E114" s="169"/>
      <c r="F114" s="144"/>
      <c r="G114" s="239"/>
      <c r="H114" s="239"/>
      <c r="I114" s="201"/>
    </row>
    <row r="115" spans="1:9" ht="15.75" customHeight="1">
      <c r="A115" s="180" t="s">
        <v>116</v>
      </c>
      <c r="B115" s="19"/>
      <c r="C115" s="19"/>
      <c r="D115" s="19"/>
      <c r="E115" s="177"/>
      <c r="F115" s="107">
        <f>F116</f>
        <v>52545000</v>
      </c>
      <c r="G115" s="240">
        <f>G116+G120</f>
        <v>131048299</v>
      </c>
      <c r="H115" s="240">
        <f>H116+H120</f>
        <v>131048299</v>
      </c>
      <c r="I115" s="256">
        <f aca="true" t="shared" si="10" ref="I115:I121">H115/G115</f>
        <v>1</v>
      </c>
    </row>
    <row r="116" spans="1:9" ht="15.75" customHeight="1">
      <c r="A116" s="182" t="s">
        <v>8</v>
      </c>
      <c r="B116" s="28"/>
      <c r="C116" s="28" t="s">
        <v>9</v>
      </c>
      <c r="D116" s="28"/>
      <c r="E116" s="170"/>
      <c r="F116" s="144">
        <f>SUM(F117:F119)</f>
        <v>52545000</v>
      </c>
      <c r="G116" s="243">
        <f>SUM(G117:G119)</f>
        <v>41648349</v>
      </c>
      <c r="H116" s="243">
        <f>SUM(H117:H119)</f>
        <v>41648349</v>
      </c>
      <c r="I116" s="251">
        <f t="shared" si="10"/>
        <v>1</v>
      </c>
    </row>
    <row r="117" spans="1:9" ht="15.75" customHeight="1">
      <c r="A117" s="184"/>
      <c r="B117" s="29"/>
      <c r="C117" s="29" t="s">
        <v>48</v>
      </c>
      <c r="D117" s="29" t="s">
        <v>117</v>
      </c>
      <c r="E117" s="169"/>
      <c r="F117" s="144">
        <v>30000000</v>
      </c>
      <c r="G117" s="243">
        <v>32778230</v>
      </c>
      <c r="H117" s="243">
        <v>32778230</v>
      </c>
      <c r="I117" s="251">
        <f t="shared" si="10"/>
        <v>1</v>
      </c>
    </row>
    <row r="118" spans="1:9" ht="15.75" customHeight="1">
      <c r="A118" s="184"/>
      <c r="B118" s="29"/>
      <c r="C118" s="29" t="s">
        <v>50</v>
      </c>
      <c r="D118" s="29" t="s">
        <v>51</v>
      </c>
      <c r="E118" s="169"/>
      <c r="F118" s="144">
        <v>8100000</v>
      </c>
      <c r="G118" s="243">
        <v>8850119</v>
      </c>
      <c r="H118" s="243">
        <v>8850119</v>
      </c>
      <c r="I118" s="251">
        <f t="shared" si="10"/>
        <v>1</v>
      </c>
    </row>
    <row r="119" spans="1:9" ht="15.75" customHeight="1">
      <c r="A119" s="184"/>
      <c r="B119" s="29"/>
      <c r="C119" s="29" t="s">
        <v>377</v>
      </c>
      <c r="D119" s="29" t="s">
        <v>380</v>
      </c>
      <c r="E119" s="169"/>
      <c r="F119" s="144">
        <v>14445000</v>
      </c>
      <c r="G119" s="243">
        <v>20000</v>
      </c>
      <c r="H119" s="243">
        <v>20000</v>
      </c>
      <c r="I119" s="251">
        <f t="shared" si="10"/>
        <v>1</v>
      </c>
    </row>
    <row r="120" spans="1:9" ht="15.75" customHeight="1">
      <c r="A120" s="182" t="s">
        <v>17</v>
      </c>
      <c r="B120" s="28"/>
      <c r="C120" s="28" t="s">
        <v>18</v>
      </c>
      <c r="D120" s="29"/>
      <c r="E120" s="169"/>
      <c r="F120" s="144"/>
      <c r="G120" s="241">
        <f>SUM(G121)</f>
        <v>89399950</v>
      </c>
      <c r="H120" s="241">
        <f>SUM(H121)</f>
        <v>89399950</v>
      </c>
      <c r="I120" s="255">
        <f t="shared" si="10"/>
        <v>1</v>
      </c>
    </row>
    <row r="121" spans="1:9" ht="15.75" customHeight="1">
      <c r="A121" s="184"/>
      <c r="B121" s="29"/>
      <c r="C121" s="29" t="s">
        <v>378</v>
      </c>
      <c r="D121" s="29" t="s">
        <v>379</v>
      </c>
      <c r="E121" s="169"/>
      <c r="F121" s="144"/>
      <c r="G121" s="243">
        <v>89399950</v>
      </c>
      <c r="H121" s="243">
        <v>89399950</v>
      </c>
      <c r="I121" s="251">
        <f t="shared" si="10"/>
        <v>1</v>
      </c>
    </row>
    <row r="122" spans="1:9" ht="15.75" customHeight="1">
      <c r="A122" s="184"/>
      <c r="B122" s="29"/>
      <c r="C122" s="29"/>
      <c r="D122" s="29"/>
      <c r="E122" s="169"/>
      <c r="F122" s="144"/>
      <c r="G122" s="239"/>
      <c r="H122" s="239"/>
      <c r="I122" s="201"/>
    </row>
    <row r="123" spans="1:9" ht="15.75" customHeight="1">
      <c r="A123" s="180" t="s">
        <v>118</v>
      </c>
      <c r="B123" s="19"/>
      <c r="C123" s="19"/>
      <c r="D123" s="19"/>
      <c r="E123" s="177"/>
      <c r="F123" s="107">
        <f>SUM(F124)</f>
        <v>152400</v>
      </c>
      <c r="G123" s="240">
        <f>SUM(G124)</f>
        <v>152400</v>
      </c>
      <c r="H123" s="240">
        <f>SUM(H124)</f>
        <v>112510</v>
      </c>
      <c r="I123" s="256">
        <f>H123/G123</f>
        <v>0.7382545931758531</v>
      </c>
    </row>
    <row r="124" spans="1:9" ht="15.75" customHeight="1">
      <c r="A124" s="182" t="s">
        <v>8</v>
      </c>
      <c r="B124" s="28"/>
      <c r="C124" s="28" t="s">
        <v>9</v>
      </c>
      <c r="D124" s="28"/>
      <c r="E124" s="170"/>
      <c r="F124" s="144">
        <f>SUM(F125:F126)</f>
        <v>152400</v>
      </c>
      <c r="G124" s="243">
        <f>SUM(G125:G126)</f>
        <v>152400</v>
      </c>
      <c r="H124" s="243">
        <f>SUM(H125:H126)</f>
        <v>112510</v>
      </c>
      <c r="I124" s="251">
        <f>H124/G124</f>
        <v>0.7382545931758531</v>
      </c>
    </row>
    <row r="125" spans="1:9" ht="15.75" customHeight="1">
      <c r="A125" s="184"/>
      <c r="B125" s="29"/>
      <c r="C125" s="29" t="s">
        <v>48</v>
      </c>
      <c r="D125" s="29" t="s">
        <v>117</v>
      </c>
      <c r="E125" s="169"/>
      <c r="F125" s="144">
        <v>120000</v>
      </c>
      <c r="G125" s="243">
        <v>120000</v>
      </c>
      <c r="H125" s="243">
        <v>88591</v>
      </c>
      <c r="I125" s="251">
        <f>H125/G125</f>
        <v>0.7382583333333333</v>
      </c>
    </row>
    <row r="126" spans="1:9" ht="15.75" customHeight="1">
      <c r="A126" s="184"/>
      <c r="B126" s="29"/>
      <c r="C126" s="29" t="s">
        <v>50</v>
      </c>
      <c r="D126" s="29" t="s">
        <v>51</v>
      </c>
      <c r="E126" s="169"/>
      <c r="F126" s="144">
        <v>32400</v>
      </c>
      <c r="G126" s="243">
        <v>32400</v>
      </c>
      <c r="H126" s="243">
        <v>23919</v>
      </c>
      <c r="I126" s="251">
        <f>H126/G126</f>
        <v>0.7382407407407408</v>
      </c>
    </row>
    <row r="127" spans="1:9" ht="15.75" customHeight="1">
      <c r="A127" s="184"/>
      <c r="B127" s="29"/>
      <c r="C127" s="29"/>
      <c r="D127" s="29"/>
      <c r="E127" s="169"/>
      <c r="F127" s="144"/>
      <c r="G127" s="243"/>
      <c r="H127" s="243"/>
      <c r="I127" s="243"/>
    </row>
    <row r="128" spans="1:9" ht="15.75" customHeight="1">
      <c r="A128" s="193" t="s">
        <v>153</v>
      </c>
      <c r="B128" s="104"/>
      <c r="C128" s="104"/>
      <c r="D128" s="104"/>
      <c r="E128" s="104"/>
      <c r="F128" s="107">
        <f>SUM(F129)</f>
        <v>0</v>
      </c>
      <c r="G128" s="240">
        <f>SUM(G129)</f>
        <v>4100</v>
      </c>
      <c r="H128" s="240">
        <f>H129+H132</f>
        <v>216200</v>
      </c>
      <c r="I128" s="256">
        <f>H128/G128</f>
        <v>52.73170731707317</v>
      </c>
    </row>
    <row r="129" spans="1:9" ht="15.75" customHeight="1">
      <c r="A129" s="182" t="s">
        <v>8</v>
      </c>
      <c r="B129" s="28"/>
      <c r="C129" s="28" t="s">
        <v>9</v>
      </c>
      <c r="D129" s="29"/>
      <c r="E129" s="169"/>
      <c r="F129" s="144"/>
      <c r="G129" s="243">
        <f>SUM(G130:G131)</f>
        <v>4100</v>
      </c>
      <c r="H129" s="243">
        <f>SUM(H130:H131)</f>
        <v>4100</v>
      </c>
      <c r="I129" s="251">
        <f>H129/G129</f>
        <v>1</v>
      </c>
    </row>
    <row r="130" spans="1:9" ht="15.75" customHeight="1">
      <c r="A130" s="184"/>
      <c r="B130" s="29"/>
      <c r="C130" s="29" t="s">
        <v>48</v>
      </c>
      <c r="D130" s="29" t="s">
        <v>117</v>
      </c>
      <c r="E130" s="169"/>
      <c r="F130" s="144"/>
      <c r="G130" s="243">
        <v>3228</v>
      </c>
      <c r="H130" s="243">
        <v>3228</v>
      </c>
      <c r="I130" s="251">
        <f>H130/G130</f>
        <v>1</v>
      </c>
    </row>
    <row r="131" spans="1:9" ht="15.75" customHeight="1">
      <c r="A131" s="184"/>
      <c r="B131" s="29"/>
      <c r="C131" s="29" t="s">
        <v>50</v>
      </c>
      <c r="D131" s="29" t="s">
        <v>51</v>
      </c>
      <c r="E131" s="169"/>
      <c r="F131" s="144"/>
      <c r="G131" s="243">
        <v>872</v>
      </c>
      <c r="H131" s="243">
        <v>872</v>
      </c>
      <c r="I131" s="251">
        <f>H131/G131</f>
        <v>1</v>
      </c>
    </row>
    <row r="132" spans="1:9" ht="15.75" customHeight="1">
      <c r="A132" s="182" t="s">
        <v>10</v>
      </c>
      <c r="B132" s="29"/>
      <c r="C132" s="28" t="s">
        <v>11</v>
      </c>
      <c r="D132" s="32"/>
      <c r="E132" s="169"/>
      <c r="F132" s="144"/>
      <c r="G132" s="243"/>
      <c r="H132" s="243">
        <f>SUM(H133)</f>
        <v>212100</v>
      </c>
      <c r="I132" s="251"/>
    </row>
    <row r="133" spans="1:9" ht="15.75" customHeight="1">
      <c r="A133" s="184"/>
      <c r="B133" s="29" t="s">
        <v>399</v>
      </c>
      <c r="C133" s="29"/>
      <c r="D133" s="32" t="s">
        <v>400</v>
      </c>
      <c r="E133" s="169"/>
      <c r="F133" s="144"/>
      <c r="G133" s="243"/>
      <c r="H133" s="243">
        <v>212100</v>
      </c>
      <c r="I133" s="251"/>
    </row>
    <row r="134" spans="1:9" ht="15.75" customHeight="1">
      <c r="A134" s="184"/>
      <c r="B134" s="29"/>
      <c r="C134" s="29"/>
      <c r="D134" s="32"/>
      <c r="E134" s="169"/>
      <c r="F134" s="144"/>
      <c r="G134" s="243"/>
      <c r="H134" s="243"/>
      <c r="I134" s="251"/>
    </row>
    <row r="135" spans="1:9" ht="15.75" customHeight="1">
      <c r="A135" s="187"/>
      <c r="B135" s="30"/>
      <c r="C135" s="30" t="s">
        <v>119</v>
      </c>
      <c r="D135" s="30"/>
      <c r="E135" s="171"/>
      <c r="F135" s="107">
        <f>F10+F44+F52+F66+F88+F115+F123+F75+F24+F39+F62+F83+F79</f>
        <v>698302480</v>
      </c>
      <c r="G135" s="240">
        <f>G10+G44+G52+G66+G88+G115+G123+G75+G24+G39+G62+G83+G79+G100+G111+G95+G128</f>
        <v>689841466</v>
      </c>
      <c r="H135" s="240">
        <f>H10+H44+H52+H66+H88+H115+H123+H75+H24+H39+H62+H83+H79+H100+H111+H95+H128</f>
        <v>689876926</v>
      </c>
      <c r="I135" s="261">
        <f>H135/G135</f>
        <v>1.0000514031146976</v>
      </c>
    </row>
    <row r="136" spans="1:9" ht="15.75" customHeight="1">
      <c r="A136" s="340"/>
      <c r="B136" s="341"/>
      <c r="C136" s="341"/>
      <c r="D136" s="341"/>
      <c r="E136" s="342"/>
      <c r="F136" s="82"/>
      <c r="G136" s="186"/>
      <c r="H136" s="186"/>
      <c r="I136" s="219"/>
    </row>
    <row r="137" spans="1:9" ht="15.75" customHeight="1">
      <c r="A137" s="182" t="s">
        <v>4</v>
      </c>
      <c r="B137" s="28"/>
      <c r="C137" s="28" t="s">
        <v>5</v>
      </c>
      <c r="D137" s="28"/>
      <c r="E137" s="169"/>
      <c r="F137" s="144">
        <f>F11+F53+F76+F67+F79</f>
        <v>113205923</v>
      </c>
      <c r="G137" s="191">
        <f>G11+G53+G76+G67+G79+G101</f>
        <v>121439067</v>
      </c>
      <c r="H137" s="191">
        <f>H11+H53+H76+H67+H79+H101</f>
        <v>121423656</v>
      </c>
      <c r="I137" s="251">
        <f aca="true" t="shared" si="11" ref="I137:I144">H137/G137</f>
        <v>0.9998730968511147</v>
      </c>
    </row>
    <row r="138" spans="1:9" ht="15.75" customHeight="1">
      <c r="A138" s="182" t="s">
        <v>13</v>
      </c>
      <c r="B138" s="28"/>
      <c r="C138" s="28" t="s">
        <v>14</v>
      </c>
      <c r="D138" s="28"/>
      <c r="E138" s="170"/>
      <c r="F138" s="144">
        <v>0</v>
      </c>
      <c r="G138" s="191">
        <f>G104+G96</f>
        <v>41374828</v>
      </c>
      <c r="H138" s="191">
        <f>H104+H96</f>
        <v>41374828</v>
      </c>
      <c r="I138" s="251">
        <f t="shared" si="11"/>
        <v>1</v>
      </c>
    </row>
    <row r="139" spans="1:9" ht="15.75" customHeight="1">
      <c r="A139" s="182" t="s">
        <v>6</v>
      </c>
      <c r="B139" s="28"/>
      <c r="C139" s="28" t="s">
        <v>7</v>
      </c>
      <c r="D139" s="28"/>
      <c r="E139" s="170"/>
      <c r="F139" s="144">
        <f>F25</f>
        <v>146000000</v>
      </c>
      <c r="G139" s="191">
        <f>G25</f>
        <v>105121474</v>
      </c>
      <c r="H139" s="191">
        <f>H25</f>
        <v>105066920</v>
      </c>
      <c r="I139" s="251">
        <f t="shared" si="11"/>
        <v>0.9994810384793501</v>
      </c>
    </row>
    <row r="140" spans="1:9" ht="15.75" customHeight="1">
      <c r="A140" s="182" t="s">
        <v>8</v>
      </c>
      <c r="B140" s="28"/>
      <c r="C140" s="28" t="s">
        <v>9</v>
      </c>
      <c r="D140" s="28"/>
      <c r="E140" s="170"/>
      <c r="F140" s="144">
        <f>F13+F45+F89+F116+F124+F40+F84</f>
        <v>155387400</v>
      </c>
      <c r="G140" s="191">
        <f>G13+G45+G89+G116+G124+G40+G84+G106+G129</f>
        <v>168976515</v>
      </c>
      <c r="H140" s="191">
        <f>H13+H45+H89+H116+H124+H40+H84+H106+H129</f>
        <v>168858675</v>
      </c>
      <c r="I140" s="251">
        <f t="shared" si="11"/>
        <v>0.9993026249831226</v>
      </c>
    </row>
    <row r="141" spans="1:9" ht="15.75" customHeight="1">
      <c r="A141" s="182" t="s">
        <v>15</v>
      </c>
      <c r="B141" s="28"/>
      <c r="C141" s="28" t="s">
        <v>16</v>
      </c>
      <c r="D141" s="28"/>
      <c r="E141" s="170"/>
      <c r="F141" s="144">
        <f>F17</f>
        <v>600000</v>
      </c>
      <c r="G141" s="191">
        <f>G17</f>
        <v>600000</v>
      </c>
      <c r="H141" s="191">
        <f>H17</f>
        <v>598140</v>
      </c>
      <c r="I141" s="251">
        <f t="shared" si="11"/>
        <v>0.9969</v>
      </c>
    </row>
    <row r="142" spans="1:9" ht="15.75" customHeight="1">
      <c r="A142" s="182" t="s">
        <v>10</v>
      </c>
      <c r="B142" s="28"/>
      <c r="C142" s="28" t="s">
        <v>11</v>
      </c>
      <c r="D142" s="28"/>
      <c r="E142" s="170"/>
      <c r="F142" s="144">
        <f>F19</f>
        <v>300000</v>
      </c>
      <c r="G142" s="191">
        <f>G19+G108</f>
        <v>1400000</v>
      </c>
      <c r="H142" s="191">
        <f>H19+H108+H132</f>
        <v>1625125</v>
      </c>
      <c r="I142" s="251">
        <f t="shared" si="11"/>
        <v>1.1608035714285714</v>
      </c>
    </row>
    <row r="143" spans="1:9" ht="15.75" customHeight="1">
      <c r="A143" s="182" t="s">
        <v>17</v>
      </c>
      <c r="B143" s="28"/>
      <c r="C143" s="28" t="s">
        <v>18</v>
      </c>
      <c r="D143" s="28"/>
      <c r="E143" s="170"/>
      <c r="F143" s="144">
        <f>F93</f>
        <v>53500000</v>
      </c>
      <c r="G143" s="191">
        <f>G93+G112+G22+G120</f>
        <v>143326250</v>
      </c>
      <c r="H143" s="191">
        <f>H93+H112+H22+H120</f>
        <v>143326250</v>
      </c>
      <c r="I143" s="251">
        <f t="shared" si="11"/>
        <v>1</v>
      </c>
    </row>
    <row r="144" spans="1:9" ht="15.75" customHeight="1">
      <c r="A144" s="182" t="s">
        <v>20</v>
      </c>
      <c r="B144" s="28"/>
      <c r="C144" s="28" t="s">
        <v>19</v>
      </c>
      <c r="D144" s="28"/>
      <c r="E144" s="170"/>
      <c r="F144" s="144">
        <f>F71+F64</f>
        <v>229309157</v>
      </c>
      <c r="G144" s="191">
        <f>G71+G64</f>
        <v>107603332</v>
      </c>
      <c r="H144" s="191">
        <f>H71+H64</f>
        <v>107603332</v>
      </c>
      <c r="I144" s="251">
        <f t="shared" si="11"/>
        <v>1</v>
      </c>
    </row>
    <row r="145" spans="1:9" ht="15.75" customHeight="1" thickBot="1">
      <c r="A145" s="194"/>
      <c r="B145" s="195"/>
      <c r="C145" s="196" t="s">
        <v>119</v>
      </c>
      <c r="D145" s="195"/>
      <c r="E145" s="197"/>
      <c r="F145" s="198">
        <f>SUM(F137:F144)</f>
        <v>698302480</v>
      </c>
      <c r="G145" s="199">
        <f>SUM(G137:G144)</f>
        <v>689841466</v>
      </c>
      <c r="H145" s="199">
        <f>SUM(H137:H144)</f>
        <v>689876926</v>
      </c>
      <c r="I145" s="255">
        <f>H145/G145</f>
        <v>1.0000514031146976</v>
      </c>
    </row>
  </sheetData>
  <sheetProtection selectLockedCells="1" selectUnlockedCells="1"/>
  <mergeCells count="14">
    <mergeCell ref="C96:E96"/>
    <mergeCell ref="H8:H9"/>
    <mergeCell ref="D97:E97"/>
    <mergeCell ref="D98:E98"/>
    <mergeCell ref="A1:I1"/>
    <mergeCell ref="A3:I3"/>
    <mergeCell ref="A4:I4"/>
    <mergeCell ref="A5:I5"/>
    <mergeCell ref="A136:E136"/>
    <mergeCell ref="I8:I9"/>
    <mergeCell ref="D103:E103"/>
    <mergeCell ref="G8:G9"/>
    <mergeCell ref="A8:E9"/>
    <mergeCell ref="F8:F9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54" r:id="rId1"/>
  <rowBreaks count="1" manualBreakCount="1">
    <brk id="6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60" zoomScalePageLayoutView="0" workbookViewId="0" topLeftCell="A55">
      <selection activeCell="L14" sqref="L14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6.8515625" style="1" customWidth="1"/>
    <col min="4" max="4" width="4.421875" style="1" customWidth="1"/>
    <col min="5" max="5" width="48.8515625" style="1" bestFit="1" customWidth="1"/>
    <col min="6" max="6" width="11.140625" style="1" bestFit="1" customWidth="1"/>
    <col min="7" max="7" width="15.00390625" style="1" customWidth="1"/>
    <col min="8" max="8" width="15.57421875" style="1" customWidth="1"/>
    <col min="9" max="9" width="14.140625" style="1" customWidth="1"/>
    <col min="10" max="10" width="12.57421875" style="1" bestFit="1" customWidth="1"/>
    <col min="11" max="16384" width="9.140625" style="1" customWidth="1"/>
  </cols>
  <sheetData>
    <row r="1" spans="1:10" ht="15.75">
      <c r="A1" s="338" t="s">
        <v>443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7" ht="15.75" customHeight="1">
      <c r="A2" s="25"/>
      <c r="B2" s="25"/>
      <c r="C2" s="25"/>
      <c r="D2" s="25"/>
      <c r="E2" s="3"/>
      <c r="F2" s="3"/>
      <c r="G2" s="3"/>
    </row>
    <row r="3" spans="1:10" ht="15.75" customHeight="1">
      <c r="A3" s="339" t="s">
        <v>0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ht="15.75" customHeight="1">
      <c r="A4" s="339" t="s">
        <v>418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0" ht="15.75" customHeight="1">
      <c r="A5" s="339" t="s">
        <v>120</v>
      </c>
      <c r="B5" s="339"/>
      <c r="C5" s="339"/>
      <c r="D5" s="339"/>
      <c r="E5" s="339"/>
      <c r="F5" s="339"/>
      <c r="G5" s="339"/>
      <c r="H5" s="339"/>
      <c r="I5" s="339"/>
      <c r="J5" s="339"/>
    </row>
    <row r="6" spans="1:7" ht="15.75" customHeight="1" thickBot="1">
      <c r="A6" s="25"/>
      <c r="B6" s="25"/>
      <c r="C6" s="25"/>
      <c r="D6" s="25"/>
      <c r="E6" s="26"/>
      <c r="F6" s="26"/>
      <c r="G6" s="26"/>
    </row>
    <row r="7" spans="1:10" ht="15.75" customHeight="1">
      <c r="A7" s="374" t="s">
        <v>121</v>
      </c>
      <c r="B7" s="375"/>
      <c r="C7" s="375"/>
      <c r="D7" s="375"/>
      <c r="E7" s="375"/>
      <c r="F7" s="376"/>
      <c r="G7" s="380" t="s">
        <v>2</v>
      </c>
      <c r="H7" s="382" t="s">
        <v>390</v>
      </c>
      <c r="I7" s="369" t="s">
        <v>464</v>
      </c>
      <c r="J7" s="371" t="s">
        <v>465</v>
      </c>
    </row>
    <row r="8" spans="1:10" ht="15.75" customHeight="1">
      <c r="A8" s="377"/>
      <c r="B8" s="378"/>
      <c r="C8" s="378"/>
      <c r="D8" s="378"/>
      <c r="E8" s="378"/>
      <c r="F8" s="379"/>
      <c r="G8" s="381"/>
      <c r="H8" s="383"/>
      <c r="I8" s="370"/>
      <c r="J8" s="372"/>
    </row>
    <row r="9" spans="1:10" ht="15.75" customHeight="1" thickBot="1">
      <c r="A9" s="377"/>
      <c r="B9" s="378"/>
      <c r="C9" s="378"/>
      <c r="D9" s="378"/>
      <c r="E9" s="378"/>
      <c r="F9" s="379"/>
      <c r="G9" s="381"/>
      <c r="H9" s="383"/>
      <c r="I9" s="370"/>
      <c r="J9" s="373"/>
    </row>
    <row r="10" spans="1:10" ht="15.75" customHeight="1">
      <c r="A10" s="216" t="s">
        <v>4</v>
      </c>
      <c r="B10" s="162"/>
      <c r="C10" s="162" t="s">
        <v>5</v>
      </c>
      <c r="D10" s="162"/>
      <c r="E10" s="162"/>
      <c r="F10" s="200"/>
      <c r="G10" s="163">
        <f>G11+G26</f>
        <v>113205923</v>
      </c>
      <c r="H10" s="181">
        <f>H11+H26</f>
        <v>121439067</v>
      </c>
      <c r="I10" s="181">
        <f>I11+I26</f>
        <v>121423656</v>
      </c>
      <c r="J10" s="263">
        <f>I10/H10</f>
        <v>0.9998730968511147</v>
      </c>
    </row>
    <row r="11" spans="1:10" ht="15.75" customHeight="1">
      <c r="A11" s="217"/>
      <c r="B11" s="113" t="s">
        <v>88</v>
      </c>
      <c r="C11" s="113"/>
      <c r="D11" s="113" t="s">
        <v>89</v>
      </c>
      <c r="E11" s="113"/>
      <c r="F11" s="201"/>
      <c r="G11" s="82">
        <f>SUM(G12:G23)</f>
        <v>94257195</v>
      </c>
      <c r="H11" s="189">
        <f>SUM(H12:H23)</f>
        <v>105251253</v>
      </c>
      <c r="I11" s="189">
        <f>SUM(I12:I23)</f>
        <v>105251253</v>
      </c>
      <c r="J11" s="264">
        <f>I11/H11</f>
        <v>1</v>
      </c>
    </row>
    <row r="12" spans="1:10" ht="15.75" customHeight="1">
      <c r="A12" s="218"/>
      <c r="B12" s="113"/>
      <c r="C12" s="81" t="s">
        <v>90</v>
      </c>
      <c r="D12" s="81" t="s">
        <v>91</v>
      </c>
      <c r="E12" s="81"/>
      <c r="F12" s="201"/>
      <c r="G12" s="144">
        <v>51183073</v>
      </c>
      <c r="H12" s="191">
        <v>32805563</v>
      </c>
      <c r="I12" s="191">
        <f>'2. Bevétel funkció'!H55</f>
        <v>32805563</v>
      </c>
      <c r="J12" s="262">
        <f>I12/H12</f>
        <v>1</v>
      </c>
    </row>
    <row r="13" spans="1:10" ht="15.75" customHeight="1">
      <c r="A13" s="218"/>
      <c r="B13" s="113"/>
      <c r="C13" s="81"/>
      <c r="D13" s="81"/>
      <c r="E13" s="81" t="s">
        <v>122</v>
      </c>
      <c r="F13" s="201">
        <v>5952240</v>
      </c>
      <c r="G13" s="144"/>
      <c r="H13" s="219"/>
      <c r="I13" s="219"/>
      <c r="J13" s="219"/>
    </row>
    <row r="14" spans="1:10" ht="15.75" customHeight="1">
      <c r="A14" s="218"/>
      <c r="B14" s="113"/>
      <c r="C14" s="81"/>
      <c r="D14" s="81"/>
      <c r="E14" s="81" t="s">
        <v>123</v>
      </c>
      <c r="F14" s="201">
        <v>14720000</v>
      </c>
      <c r="G14" s="144"/>
      <c r="H14" s="219"/>
      <c r="I14" s="219"/>
      <c r="J14" s="219"/>
    </row>
    <row r="15" spans="1:10" ht="15.75" customHeight="1">
      <c r="A15" s="218"/>
      <c r="B15" s="113"/>
      <c r="C15" s="81"/>
      <c r="D15" s="81"/>
      <c r="E15" s="81" t="s">
        <v>124</v>
      </c>
      <c r="F15" s="201">
        <v>812130</v>
      </c>
      <c r="G15" s="144"/>
      <c r="H15" s="219"/>
      <c r="I15" s="219"/>
      <c r="J15" s="219"/>
    </row>
    <row r="16" spans="1:10" ht="15.75" customHeight="1">
      <c r="A16" s="218"/>
      <c r="B16" s="113"/>
      <c r="C16" s="81"/>
      <c r="D16" s="81"/>
      <c r="E16" s="81" t="s">
        <v>125</v>
      </c>
      <c r="F16" s="201">
        <v>3579790</v>
      </c>
      <c r="G16" s="144"/>
      <c r="H16" s="219"/>
      <c r="I16" s="219"/>
      <c r="J16" s="219"/>
    </row>
    <row r="17" spans="1:10" ht="15.75" customHeight="1">
      <c r="A17" s="218"/>
      <c r="B17" s="113"/>
      <c r="C17" s="81"/>
      <c r="D17" s="81"/>
      <c r="E17" s="81" t="s">
        <v>126</v>
      </c>
      <c r="F17" s="201">
        <v>14215323</v>
      </c>
      <c r="G17" s="144"/>
      <c r="H17" s="219"/>
      <c r="I17" s="219"/>
      <c r="J17" s="219"/>
    </row>
    <row r="18" spans="1:10" ht="15.75" customHeight="1">
      <c r="A18" s="218"/>
      <c r="B18" s="113"/>
      <c r="C18" s="81"/>
      <c r="D18" s="81"/>
      <c r="E18" s="81" t="s">
        <v>414</v>
      </c>
      <c r="F18" s="201">
        <f>7472950+615987</f>
        <v>8088937</v>
      </c>
      <c r="G18" s="144"/>
      <c r="H18" s="219"/>
      <c r="I18" s="219"/>
      <c r="J18" s="219"/>
    </row>
    <row r="19" spans="1:10" ht="15.75" customHeight="1">
      <c r="A19" s="217"/>
      <c r="B19" s="81"/>
      <c r="C19" s="81" t="s">
        <v>92</v>
      </c>
      <c r="D19" s="81" t="s">
        <v>127</v>
      </c>
      <c r="E19" s="81"/>
      <c r="F19" s="201"/>
      <c r="G19" s="144">
        <f>'2. Bevétel funkció'!F56</f>
        <v>22663270</v>
      </c>
      <c r="H19" s="191">
        <f>'2. Bevétel funkció'!G56</f>
        <v>24245820</v>
      </c>
      <c r="I19" s="191">
        <f>'2. Bevétel funkció'!H56</f>
        <v>24245820</v>
      </c>
      <c r="J19" s="262">
        <f aca="true" t="shared" si="0" ref="J19:J30">I19/H19</f>
        <v>1</v>
      </c>
    </row>
    <row r="20" spans="1:10" ht="15.75" customHeight="1">
      <c r="A20" s="217"/>
      <c r="B20" s="81"/>
      <c r="C20" s="81" t="s">
        <v>410</v>
      </c>
      <c r="D20" s="81" t="s">
        <v>415</v>
      </c>
      <c r="E20" s="81"/>
      <c r="F20" s="201"/>
      <c r="G20" s="144">
        <f>'2. Bevétel funkció'!F57</f>
        <v>18610852</v>
      </c>
      <c r="H20" s="191">
        <f>'2. Bevétel funkció'!G57</f>
        <v>2974000</v>
      </c>
      <c r="I20" s="191">
        <f>'2. Bevétel funkció'!H57</f>
        <v>2974000</v>
      </c>
      <c r="J20" s="262">
        <f t="shared" si="0"/>
        <v>1</v>
      </c>
    </row>
    <row r="21" spans="1:10" ht="15.75" customHeight="1">
      <c r="A21" s="217"/>
      <c r="B21" s="81"/>
      <c r="C21" s="81" t="s">
        <v>411</v>
      </c>
      <c r="D21" s="81" t="s">
        <v>416</v>
      </c>
      <c r="E21" s="81"/>
      <c r="F21" s="201"/>
      <c r="G21" s="144"/>
      <c r="H21" s="191">
        <f>'2. Bevétel funkció'!G58</f>
        <v>16105680</v>
      </c>
      <c r="I21" s="191">
        <f>'2. Bevétel funkció'!H58</f>
        <v>16105680</v>
      </c>
      <c r="J21" s="262">
        <f t="shared" si="0"/>
        <v>1</v>
      </c>
    </row>
    <row r="22" spans="1:10" ht="15.75" customHeight="1">
      <c r="A22" s="217"/>
      <c r="B22" s="81"/>
      <c r="C22" s="81" t="s">
        <v>94</v>
      </c>
      <c r="D22" s="81" t="s">
        <v>95</v>
      </c>
      <c r="E22" s="81"/>
      <c r="F22" s="201"/>
      <c r="G22" s="144">
        <f>'2. Bevétel funkció'!F59</f>
        <v>1800000</v>
      </c>
      <c r="H22" s="191">
        <f>'2. Bevétel funkció'!G59</f>
        <v>2502390</v>
      </c>
      <c r="I22" s="191">
        <f>'2. Bevétel funkció'!H59</f>
        <v>2502390</v>
      </c>
      <c r="J22" s="262">
        <f t="shared" si="0"/>
        <v>1</v>
      </c>
    </row>
    <row r="23" spans="1:10" ht="15.75" customHeight="1">
      <c r="A23" s="217"/>
      <c r="B23" s="81"/>
      <c r="C23" s="81" t="s">
        <v>96</v>
      </c>
      <c r="D23" s="81" t="s">
        <v>128</v>
      </c>
      <c r="E23" s="81"/>
      <c r="F23" s="201"/>
      <c r="G23" s="144">
        <v>0</v>
      </c>
      <c r="H23" s="191">
        <f>'2. Bevétel funkció'!G60</f>
        <v>26617800</v>
      </c>
      <c r="I23" s="191">
        <f>'2. Bevétel funkció'!H60</f>
        <v>26617800</v>
      </c>
      <c r="J23" s="262">
        <f t="shared" si="0"/>
        <v>1</v>
      </c>
    </row>
    <row r="24" spans="1:10" ht="15.75" customHeight="1">
      <c r="A24" s="217"/>
      <c r="B24" s="81"/>
      <c r="C24" s="81" t="s">
        <v>97</v>
      </c>
      <c r="D24" s="81" t="s">
        <v>98</v>
      </c>
      <c r="E24" s="81"/>
      <c r="F24" s="201"/>
      <c r="G24" s="144"/>
      <c r="H24" s="191"/>
      <c r="I24" s="191"/>
      <c r="J24" s="262"/>
    </row>
    <row r="25" spans="1:10" ht="15.75" customHeight="1">
      <c r="A25" s="217"/>
      <c r="B25" s="81"/>
      <c r="C25" s="81"/>
      <c r="D25" s="81"/>
      <c r="E25" s="81"/>
      <c r="F25" s="201"/>
      <c r="G25" s="144"/>
      <c r="H25" s="219"/>
      <c r="I25" s="219"/>
      <c r="J25" s="262"/>
    </row>
    <row r="26" spans="1:10" ht="15.75" customHeight="1">
      <c r="A26" s="217"/>
      <c r="B26" s="113" t="s">
        <v>46</v>
      </c>
      <c r="C26" s="113"/>
      <c r="D26" s="113" t="s">
        <v>103</v>
      </c>
      <c r="E26" s="113"/>
      <c r="F26" s="201"/>
      <c r="G26" s="82">
        <f>SUM(G27:G30)</f>
        <v>18948728</v>
      </c>
      <c r="H26" s="189">
        <f>SUM(H27:H31)</f>
        <v>16187814</v>
      </c>
      <c r="I26" s="189">
        <f>SUM(I27:I32)</f>
        <v>16172403</v>
      </c>
      <c r="J26" s="264">
        <f t="shared" si="0"/>
        <v>0.9990479875788046</v>
      </c>
    </row>
    <row r="27" spans="1:10" ht="15.75" customHeight="1">
      <c r="A27" s="217"/>
      <c r="B27" s="164"/>
      <c r="C27" s="164"/>
      <c r="D27" s="164"/>
      <c r="E27" s="165" t="s">
        <v>129</v>
      </c>
      <c r="F27" s="201"/>
      <c r="G27" s="144">
        <f>'2. Bevétel funkció'!F77</f>
        <v>2000000</v>
      </c>
      <c r="H27" s="191">
        <f>'2. Bevétel funkció'!G77</f>
        <v>400000</v>
      </c>
      <c r="I27" s="191">
        <f>'2. Bevétel funkció'!H77</f>
        <v>359589</v>
      </c>
      <c r="J27" s="262">
        <f t="shared" si="0"/>
        <v>0.8989725</v>
      </c>
    </row>
    <row r="28" spans="1:10" ht="15.75" customHeight="1">
      <c r="A28" s="217"/>
      <c r="B28" s="81"/>
      <c r="C28" s="81"/>
      <c r="D28" s="81" t="s">
        <v>130</v>
      </c>
      <c r="E28" s="81"/>
      <c r="F28" s="201"/>
      <c r="G28" s="144">
        <f>'2. Bevétel funkció'!F69</f>
        <v>1359988</v>
      </c>
      <c r="H28" s="191">
        <f>'2. Bevétel funkció'!G69</f>
        <v>69540</v>
      </c>
      <c r="I28" s="191">
        <f>'2. Bevétel funkció'!H69</f>
        <v>69540</v>
      </c>
      <c r="J28" s="262">
        <f t="shared" si="0"/>
        <v>1</v>
      </c>
    </row>
    <row r="29" spans="1:10" ht="15.75" customHeight="1">
      <c r="A29" s="217"/>
      <c r="B29" s="81"/>
      <c r="C29" s="81"/>
      <c r="D29" s="81" t="s">
        <v>347</v>
      </c>
      <c r="E29" s="81"/>
      <c r="F29" s="201"/>
      <c r="G29" s="144">
        <f>'2. Bevétel funkció'!F70</f>
        <v>5604000</v>
      </c>
      <c r="H29" s="191">
        <f>'2. Bevétel funkció'!G70</f>
        <v>6901400</v>
      </c>
      <c r="I29" s="191">
        <f>'2. Bevétel funkció'!H70</f>
        <v>6901400</v>
      </c>
      <c r="J29" s="262">
        <f t="shared" si="0"/>
        <v>1</v>
      </c>
    </row>
    <row r="30" spans="1:10" ht="15.75" customHeight="1">
      <c r="A30" s="217"/>
      <c r="B30" s="81"/>
      <c r="C30" s="81"/>
      <c r="D30" s="81"/>
      <c r="E30" s="81" t="s">
        <v>383</v>
      </c>
      <c r="F30" s="201"/>
      <c r="G30" s="144">
        <f>'2. Bevétel funkció'!F81</f>
        <v>9984740</v>
      </c>
      <c r="H30" s="191">
        <f>'2. Bevétel funkció'!G81</f>
        <v>7488555</v>
      </c>
      <c r="I30" s="191">
        <f>'2. Bevétel funkció'!H81</f>
        <v>7488555</v>
      </c>
      <c r="J30" s="262">
        <f t="shared" si="0"/>
        <v>1</v>
      </c>
    </row>
    <row r="31" spans="1:10" ht="33.75" customHeight="1">
      <c r="A31" s="217"/>
      <c r="B31" s="81"/>
      <c r="C31" s="81"/>
      <c r="D31" s="81"/>
      <c r="E31" s="366" t="s">
        <v>394</v>
      </c>
      <c r="F31" s="367"/>
      <c r="G31" s="144"/>
      <c r="H31" s="191">
        <f>'2. Bevétel funkció'!G102</f>
        <v>1328319</v>
      </c>
      <c r="I31" s="191">
        <f>'2. Bevétel funkció'!H102</f>
        <v>1328319</v>
      </c>
      <c r="J31" s="262">
        <f>I31/H31</f>
        <v>1</v>
      </c>
    </row>
    <row r="32" spans="1:10" ht="15.75">
      <c r="A32" s="217"/>
      <c r="B32" s="81"/>
      <c r="C32" s="81"/>
      <c r="D32" s="81"/>
      <c r="E32" s="29" t="s">
        <v>47</v>
      </c>
      <c r="F32" s="235"/>
      <c r="G32" s="144"/>
      <c r="H32" s="191"/>
      <c r="I32" s="191">
        <v>25000</v>
      </c>
      <c r="J32" s="262"/>
    </row>
    <row r="33" spans="1:10" ht="15.75" customHeight="1">
      <c r="A33" s="217"/>
      <c r="B33" s="81"/>
      <c r="C33" s="81"/>
      <c r="D33" s="81"/>
      <c r="E33" s="81"/>
      <c r="F33" s="201"/>
      <c r="G33" s="144"/>
      <c r="H33" s="219"/>
      <c r="I33" s="219"/>
      <c r="J33" s="219"/>
    </row>
    <row r="34" spans="1:10" ht="15.75" customHeight="1">
      <c r="A34" s="216" t="s">
        <v>13</v>
      </c>
      <c r="B34" s="162"/>
      <c r="C34" s="162" t="s">
        <v>14</v>
      </c>
      <c r="D34" s="162"/>
      <c r="E34" s="162"/>
      <c r="F34" s="202"/>
      <c r="G34" s="107">
        <f>G35</f>
        <v>0</v>
      </c>
      <c r="H34" s="188">
        <f>SUM(H35:H37)</f>
        <v>41374828</v>
      </c>
      <c r="I34" s="188">
        <f>SUM(I35:I37)</f>
        <v>41374828</v>
      </c>
      <c r="J34" s="265">
        <f>I34/H34</f>
        <v>1</v>
      </c>
    </row>
    <row r="35" spans="1:10" ht="15.75" customHeight="1">
      <c r="A35" s="220"/>
      <c r="B35" s="161" t="s">
        <v>395</v>
      </c>
      <c r="C35" s="161"/>
      <c r="D35" s="160" t="s">
        <v>131</v>
      </c>
      <c r="E35" s="161"/>
      <c r="F35" s="203"/>
      <c r="G35" s="110">
        <v>0</v>
      </c>
      <c r="H35" s="190">
        <f>'2. Bevétel funkció'!G105</f>
        <v>29000000</v>
      </c>
      <c r="I35" s="190">
        <f>'2. Bevétel funkció'!H105</f>
        <v>29000000</v>
      </c>
      <c r="J35" s="262">
        <f>I35/H35</f>
        <v>1</v>
      </c>
    </row>
    <row r="36" spans="1:10" ht="34.5" customHeight="1">
      <c r="A36" s="220"/>
      <c r="B36" s="29" t="s">
        <v>395</v>
      </c>
      <c r="C36" s="28"/>
      <c r="D36" s="362" t="s">
        <v>420</v>
      </c>
      <c r="E36" s="368"/>
      <c r="F36" s="203"/>
      <c r="G36" s="110"/>
      <c r="H36" s="190">
        <f>'2. Bevétel funkció'!G97</f>
        <v>8392845</v>
      </c>
      <c r="I36" s="190">
        <f>'2. Bevétel funkció'!H97</f>
        <v>8392845</v>
      </c>
      <c r="J36" s="262">
        <f>I36/H36</f>
        <v>1</v>
      </c>
    </row>
    <row r="37" spans="1:10" ht="34.5" customHeight="1">
      <c r="A37" s="220"/>
      <c r="B37" s="29" t="s">
        <v>437</v>
      </c>
      <c r="C37" s="28"/>
      <c r="D37" s="362" t="s">
        <v>438</v>
      </c>
      <c r="E37" s="368"/>
      <c r="F37" s="203"/>
      <c r="G37" s="110"/>
      <c r="H37" s="190">
        <v>3981983</v>
      </c>
      <c r="I37" s="190">
        <v>3981983</v>
      </c>
      <c r="J37" s="262">
        <f>I37/H37</f>
        <v>1</v>
      </c>
    </row>
    <row r="38" spans="1:10" ht="15.75" customHeight="1">
      <c r="A38" s="184"/>
      <c r="B38" s="29"/>
      <c r="C38" s="29"/>
      <c r="D38" s="29"/>
      <c r="E38" s="29"/>
      <c r="F38" s="169"/>
      <c r="G38" s="108"/>
      <c r="H38" s="219"/>
      <c r="I38" s="219"/>
      <c r="J38" s="219"/>
    </row>
    <row r="39" spans="1:10" ht="15.75" customHeight="1">
      <c r="A39" s="187" t="s">
        <v>6</v>
      </c>
      <c r="B39" s="30"/>
      <c r="C39" s="30" t="s">
        <v>7</v>
      </c>
      <c r="D39" s="30"/>
      <c r="E39" s="30"/>
      <c r="F39" s="171"/>
      <c r="G39" s="107">
        <f>G40+G43+G50</f>
        <v>146000000</v>
      </c>
      <c r="H39" s="188">
        <f>H40+H43+H50</f>
        <v>105121474</v>
      </c>
      <c r="I39" s="188">
        <f>I40+I43+I50</f>
        <v>105066920</v>
      </c>
      <c r="J39" s="265">
        <f>I39/H39</f>
        <v>0.9994810384793501</v>
      </c>
    </row>
    <row r="40" spans="1:10" ht="15.75" customHeight="1">
      <c r="A40" s="184"/>
      <c r="B40" s="28" t="s">
        <v>59</v>
      </c>
      <c r="C40" s="28"/>
      <c r="D40" s="28" t="s">
        <v>60</v>
      </c>
      <c r="E40" s="28"/>
      <c r="F40" s="169"/>
      <c r="G40" s="82">
        <f>SUM(G41:G42)</f>
        <v>63000000</v>
      </c>
      <c r="H40" s="189">
        <f>SUM(H41:H42)</f>
        <v>66809611</v>
      </c>
      <c r="I40" s="189">
        <f>SUM(I41:I42)</f>
        <v>66863251</v>
      </c>
      <c r="J40" s="262">
        <f aca="true" t="shared" si="1" ref="J40:J50">I40/H40</f>
        <v>1.0008028784960297</v>
      </c>
    </row>
    <row r="41" spans="1:10" ht="15.75" customHeight="1">
      <c r="A41" s="184"/>
      <c r="B41" s="29"/>
      <c r="C41" s="29" t="s">
        <v>61</v>
      </c>
      <c r="D41" s="29"/>
      <c r="E41" s="29" t="s">
        <v>62</v>
      </c>
      <c r="F41" s="169"/>
      <c r="G41" s="144">
        <f>'2. Bevétel funkció'!F27</f>
        <v>53000000</v>
      </c>
      <c r="H41" s="191">
        <f>'2. Bevétel funkció'!G27</f>
        <v>53000000</v>
      </c>
      <c r="I41" s="191">
        <f>'2. Bevétel funkció'!H27</f>
        <v>52546600</v>
      </c>
      <c r="J41" s="262">
        <f t="shared" si="1"/>
        <v>0.9914452830188679</v>
      </c>
    </row>
    <row r="42" spans="1:10" ht="15.75" customHeight="1">
      <c r="A42" s="182"/>
      <c r="B42" s="28"/>
      <c r="C42" s="29" t="s">
        <v>63</v>
      </c>
      <c r="D42" s="28"/>
      <c r="E42" s="29" t="s">
        <v>64</v>
      </c>
      <c r="F42" s="169"/>
      <c r="G42" s="144">
        <f>'2. Bevétel funkció'!F28</f>
        <v>10000000</v>
      </c>
      <c r="H42" s="191">
        <f>'2. Bevétel funkció'!G28</f>
        <v>13809611</v>
      </c>
      <c r="I42" s="191">
        <f>'2. Bevétel funkció'!H28</f>
        <v>14316651</v>
      </c>
      <c r="J42" s="262">
        <f t="shared" si="1"/>
        <v>1.036716457835054</v>
      </c>
    </row>
    <row r="43" spans="1:10" ht="15.75" customHeight="1">
      <c r="A43" s="182"/>
      <c r="B43" s="28" t="s">
        <v>65</v>
      </c>
      <c r="C43" s="28"/>
      <c r="D43" s="28" t="s">
        <v>66</v>
      </c>
      <c r="E43" s="28"/>
      <c r="F43" s="169"/>
      <c r="G43" s="82">
        <f>G44+G46+G48</f>
        <v>82500000</v>
      </c>
      <c r="H43" s="189">
        <f>H44+H46+H48</f>
        <v>37502762</v>
      </c>
      <c r="I43" s="189">
        <f>I44+I46+I48</f>
        <v>37394568</v>
      </c>
      <c r="J43" s="264">
        <f t="shared" si="1"/>
        <v>0.9971150391536495</v>
      </c>
    </row>
    <row r="44" spans="1:10" ht="15.75" customHeight="1">
      <c r="A44" s="182"/>
      <c r="B44" s="29"/>
      <c r="C44" s="29" t="s">
        <v>67</v>
      </c>
      <c r="D44" s="29" t="s">
        <v>68</v>
      </c>
      <c r="E44" s="29"/>
      <c r="F44" s="169"/>
      <c r="G44" s="144">
        <f>G45</f>
        <v>50000000</v>
      </c>
      <c r="H44" s="191">
        <f>H45</f>
        <v>37287062</v>
      </c>
      <c r="I44" s="191">
        <f>I45</f>
        <v>37287062</v>
      </c>
      <c r="J44" s="262">
        <f t="shared" si="1"/>
        <v>1</v>
      </c>
    </row>
    <row r="45" spans="1:10" ht="15.75" customHeight="1">
      <c r="A45" s="182"/>
      <c r="B45" s="29"/>
      <c r="C45" s="29"/>
      <c r="D45" s="29"/>
      <c r="E45" s="29" t="s">
        <v>69</v>
      </c>
      <c r="F45" s="169"/>
      <c r="G45" s="144">
        <f>'2. Bevétel funkció'!F31</f>
        <v>50000000</v>
      </c>
      <c r="H45" s="191">
        <f>'2. Bevétel funkció'!G31</f>
        <v>37287062</v>
      </c>
      <c r="I45" s="191">
        <f>'2. Bevétel funkció'!H31</f>
        <v>37287062</v>
      </c>
      <c r="J45" s="262">
        <f t="shared" si="1"/>
        <v>1</v>
      </c>
    </row>
    <row r="46" spans="1:10" ht="15.75" customHeight="1">
      <c r="A46" s="182"/>
      <c r="B46" s="29"/>
      <c r="C46" s="29" t="s">
        <v>70</v>
      </c>
      <c r="D46" s="29" t="s">
        <v>71</v>
      </c>
      <c r="E46" s="29"/>
      <c r="F46" s="169"/>
      <c r="G46" s="144">
        <f>SUM(G47)</f>
        <v>3500000</v>
      </c>
      <c r="H46" s="191">
        <f>SUM(H47)</f>
        <v>70700</v>
      </c>
      <c r="I46" s="191">
        <f>SUM(I47)</f>
        <v>70709</v>
      </c>
      <c r="J46" s="262">
        <f t="shared" si="1"/>
        <v>1.00012729844413</v>
      </c>
    </row>
    <row r="47" spans="1:10" ht="15.75" customHeight="1">
      <c r="A47" s="182"/>
      <c r="B47" s="29"/>
      <c r="C47" s="29"/>
      <c r="D47" s="29"/>
      <c r="E47" s="29" t="s">
        <v>72</v>
      </c>
      <c r="F47" s="169"/>
      <c r="G47" s="144">
        <f>'2. Bevétel funkció'!F33</f>
        <v>3500000</v>
      </c>
      <c r="H47" s="191">
        <f>'2. Bevétel funkció'!G33</f>
        <v>70700</v>
      </c>
      <c r="I47" s="191">
        <f>'2. Bevétel funkció'!H33</f>
        <v>70709</v>
      </c>
      <c r="J47" s="262">
        <f t="shared" si="1"/>
        <v>1.00012729844413</v>
      </c>
    </row>
    <row r="48" spans="1:10" ht="15.75" customHeight="1">
      <c r="A48" s="182"/>
      <c r="B48" s="29"/>
      <c r="C48" s="29" t="s">
        <v>73</v>
      </c>
      <c r="D48" s="29" t="s">
        <v>74</v>
      </c>
      <c r="E48" s="29"/>
      <c r="F48" s="169"/>
      <c r="G48" s="144">
        <f>SUM(G49:G49)</f>
        <v>29000000</v>
      </c>
      <c r="H48" s="191">
        <f>SUM(H49:H49)</f>
        <v>145000</v>
      </c>
      <c r="I48" s="191">
        <f>SUM(I49:I49)</f>
        <v>36797</v>
      </c>
      <c r="J48" s="262">
        <f t="shared" si="1"/>
        <v>0.25377241379310345</v>
      </c>
    </row>
    <row r="49" spans="1:10" ht="15.75" customHeight="1">
      <c r="A49" s="182"/>
      <c r="B49" s="29"/>
      <c r="C49" s="29"/>
      <c r="D49" s="29"/>
      <c r="E49" s="29" t="s">
        <v>75</v>
      </c>
      <c r="F49" s="169"/>
      <c r="G49" s="144">
        <f>'2. Bevétel funkció'!F35</f>
        <v>29000000</v>
      </c>
      <c r="H49" s="191">
        <f>'2. Bevétel funkció'!G35</f>
        <v>145000</v>
      </c>
      <c r="I49" s="191">
        <f>'2. Bevétel funkció'!H35</f>
        <v>36797</v>
      </c>
      <c r="J49" s="262">
        <f t="shared" si="1"/>
        <v>0.25377241379310345</v>
      </c>
    </row>
    <row r="50" spans="1:10" ht="15.75" customHeight="1">
      <c r="A50" s="184"/>
      <c r="B50" s="28" t="s">
        <v>76</v>
      </c>
      <c r="C50" s="29"/>
      <c r="D50" s="28" t="s">
        <v>77</v>
      </c>
      <c r="E50" s="29"/>
      <c r="F50" s="169"/>
      <c r="G50" s="82">
        <f>G51</f>
        <v>500000</v>
      </c>
      <c r="H50" s="189">
        <f>H51</f>
        <v>809101</v>
      </c>
      <c r="I50" s="189">
        <f>I51</f>
        <v>809101</v>
      </c>
      <c r="J50" s="264">
        <f t="shared" si="1"/>
        <v>1</v>
      </c>
    </row>
    <row r="51" spans="1:10" ht="15.75" customHeight="1">
      <c r="A51" s="184"/>
      <c r="B51" s="29"/>
      <c r="C51" s="29" t="s">
        <v>132</v>
      </c>
      <c r="D51" s="29"/>
      <c r="E51" s="29" t="s">
        <v>79</v>
      </c>
      <c r="F51" s="169"/>
      <c r="G51" s="144">
        <v>500000</v>
      </c>
      <c r="H51" s="191">
        <v>809101</v>
      </c>
      <c r="I51" s="191">
        <v>809101</v>
      </c>
      <c r="J51" s="262">
        <f>I51/H51</f>
        <v>1</v>
      </c>
    </row>
    <row r="52" spans="1:10" ht="15.75" customHeight="1">
      <c r="A52" s="184"/>
      <c r="B52" s="29"/>
      <c r="C52" s="29"/>
      <c r="D52" s="29"/>
      <c r="E52" s="29"/>
      <c r="F52" s="169"/>
      <c r="G52" s="144"/>
      <c r="H52" s="219"/>
      <c r="I52" s="219"/>
      <c r="J52" s="219"/>
    </row>
    <row r="53" spans="1:10" ht="15.75" customHeight="1">
      <c r="A53" s="187" t="s">
        <v>8</v>
      </c>
      <c r="B53" s="30"/>
      <c r="C53" s="30" t="s">
        <v>9</v>
      </c>
      <c r="D53" s="30"/>
      <c r="E53" s="30"/>
      <c r="F53" s="168"/>
      <c r="G53" s="163">
        <f>G54+G55+G64+G65+G67+G66</f>
        <v>155387400</v>
      </c>
      <c r="H53" s="181">
        <f>H54+H55+H64+H65+H67+H66+H68+H69</f>
        <v>168976515</v>
      </c>
      <c r="I53" s="181">
        <f>I54+I55+I64+I65+I67+I66+I68+I69</f>
        <v>168858675</v>
      </c>
      <c r="J53" s="265">
        <f>I53/H53</f>
        <v>0.9993026249831226</v>
      </c>
    </row>
    <row r="54" spans="1:10" s="142" customFormat="1" ht="15.75" customHeight="1">
      <c r="A54" s="221"/>
      <c r="B54" s="141"/>
      <c r="C54" s="29" t="s">
        <v>111</v>
      </c>
      <c r="D54" s="29" t="s">
        <v>134</v>
      </c>
      <c r="E54" s="29"/>
      <c r="F54" s="204"/>
      <c r="G54" s="211">
        <f>'2. Bevétel funkció'!F90</f>
        <v>200000</v>
      </c>
      <c r="H54" s="222">
        <f>'2. Bevétel funkció'!G90</f>
        <v>220745</v>
      </c>
      <c r="I54" s="222">
        <f>'2. Bevétel funkció'!H90</f>
        <v>407405</v>
      </c>
      <c r="J54" s="264">
        <f aca="true" t="shared" si="2" ref="J54:J68">I54/H54</f>
        <v>1.8455910666153255</v>
      </c>
    </row>
    <row r="55" spans="1:10" s="142" customFormat="1" ht="15.75" customHeight="1">
      <c r="A55" s="221"/>
      <c r="B55" s="141"/>
      <c r="C55" s="29" t="s">
        <v>48</v>
      </c>
      <c r="D55" s="29" t="s">
        <v>81</v>
      </c>
      <c r="E55" s="29"/>
      <c r="F55" s="204"/>
      <c r="G55" s="211">
        <f>SUM(G56:G62)</f>
        <v>109960000</v>
      </c>
      <c r="H55" s="222">
        <f>SUM(H56:H63)</f>
        <v>115505052</v>
      </c>
      <c r="I55" s="222">
        <f>SUM(I56:I63)</f>
        <v>115390092</v>
      </c>
      <c r="J55" s="264">
        <f t="shared" si="2"/>
        <v>0.9990047188585309</v>
      </c>
    </row>
    <row r="56" spans="1:10" s="142" customFormat="1" ht="15.75" customHeight="1">
      <c r="A56" s="221"/>
      <c r="B56" s="141"/>
      <c r="C56" s="141"/>
      <c r="D56" s="364" t="s">
        <v>324</v>
      </c>
      <c r="E56" s="365"/>
      <c r="F56" s="204"/>
      <c r="G56" s="212">
        <f>'2. Bevétel funkció'!F41</f>
        <v>100000</v>
      </c>
      <c r="H56" s="223">
        <f>'2. Bevétel funkció'!G41</f>
        <v>100000</v>
      </c>
      <c r="I56" s="223">
        <f>'2. Bevétel funkció'!H41</f>
        <v>57000</v>
      </c>
      <c r="J56" s="262">
        <f t="shared" si="2"/>
        <v>0.57</v>
      </c>
    </row>
    <row r="57" spans="1:10" s="142" customFormat="1" ht="15.75" customHeight="1">
      <c r="A57" s="221"/>
      <c r="B57" s="141"/>
      <c r="C57" s="141"/>
      <c r="D57" s="364" t="s">
        <v>325</v>
      </c>
      <c r="E57" s="365"/>
      <c r="F57" s="204"/>
      <c r="G57" s="212">
        <f>'2. Bevétel funkció'!F14</f>
        <v>200000</v>
      </c>
      <c r="H57" s="223">
        <f>'2. Bevétel funkció'!G14</f>
        <v>200000</v>
      </c>
      <c r="I57" s="223">
        <f>'2. Bevétel funkció'!H14</f>
        <v>150000</v>
      </c>
      <c r="J57" s="262">
        <f t="shared" si="2"/>
        <v>0.75</v>
      </c>
    </row>
    <row r="58" spans="1:10" s="142" customFormat="1" ht="15.75" customHeight="1">
      <c r="A58" s="221"/>
      <c r="B58" s="141"/>
      <c r="C58" s="141"/>
      <c r="D58" s="364" t="s">
        <v>83</v>
      </c>
      <c r="E58" s="365"/>
      <c r="F58" s="204"/>
      <c r="G58" s="212">
        <f>'2. Bevétel funkció'!F47</f>
        <v>78740000</v>
      </c>
      <c r="H58" s="223">
        <f>'2. Bevétel funkció'!G47</f>
        <v>81503594</v>
      </c>
      <c r="I58" s="223">
        <f>'2. Bevétel funkció'!H47</f>
        <v>81375834</v>
      </c>
      <c r="J58" s="262">
        <f t="shared" si="2"/>
        <v>0.998432461763588</v>
      </c>
    </row>
    <row r="59" spans="1:10" s="142" customFormat="1" ht="15.75" customHeight="1">
      <c r="A59" s="221"/>
      <c r="B59" s="141"/>
      <c r="C59" s="141"/>
      <c r="D59" s="364" t="s">
        <v>328</v>
      </c>
      <c r="E59" s="365"/>
      <c r="F59" s="204"/>
      <c r="G59" s="212">
        <f>'2. Bevétel funkció'!F85</f>
        <v>400000</v>
      </c>
      <c r="H59" s="223">
        <f>'2. Bevétel funkció'!G85</f>
        <v>400000</v>
      </c>
      <c r="I59" s="223">
        <f>'2. Bevétel funkció'!H85</f>
        <v>409449</v>
      </c>
      <c r="J59" s="262">
        <f t="shared" si="2"/>
        <v>1.0236225</v>
      </c>
    </row>
    <row r="60" spans="1:10" s="142" customFormat="1" ht="15.75" customHeight="1">
      <c r="A60" s="221"/>
      <c r="B60" s="141"/>
      <c r="C60" s="141"/>
      <c r="D60" s="364" t="s">
        <v>84</v>
      </c>
      <c r="E60" s="365"/>
      <c r="F60" s="204"/>
      <c r="G60" s="212">
        <f>'2. Bevétel funkció'!F48</f>
        <v>400000</v>
      </c>
      <c r="H60" s="223">
        <f>'2. Bevétel funkció'!G48</f>
        <v>400000</v>
      </c>
      <c r="I60" s="223">
        <f>'2. Bevétel funkció'!H48</f>
        <v>527760</v>
      </c>
      <c r="J60" s="262">
        <f t="shared" si="2"/>
        <v>1.3194</v>
      </c>
    </row>
    <row r="61" spans="1:10" s="142" customFormat="1" ht="15.75" customHeight="1">
      <c r="A61" s="221"/>
      <c r="B61" s="141"/>
      <c r="C61" s="141"/>
      <c r="D61" s="364" t="s">
        <v>326</v>
      </c>
      <c r="E61" s="365"/>
      <c r="F61" s="204"/>
      <c r="G61" s="212">
        <f>'2. Bevétel funkció'!F117</f>
        <v>30000000</v>
      </c>
      <c r="H61" s="223">
        <f>'2. Bevétel funkció'!G117</f>
        <v>32778230</v>
      </c>
      <c r="I61" s="223">
        <f>'2. Bevétel funkció'!H117</f>
        <v>32778230</v>
      </c>
      <c r="J61" s="262">
        <f t="shared" si="2"/>
        <v>1</v>
      </c>
    </row>
    <row r="62" spans="1:10" s="142" customFormat="1" ht="15.75" customHeight="1">
      <c r="A62" s="221"/>
      <c r="B62" s="141"/>
      <c r="C62" s="141"/>
      <c r="D62" s="364" t="s">
        <v>327</v>
      </c>
      <c r="E62" s="365"/>
      <c r="F62" s="204"/>
      <c r="G62" s="212">
        <f>'2. Bevétel funkció'!F125</f>
        <v>120000</v>
      </c>
      <c r="H62" s="223">
        <f>'2. Bevétel funkció'!G125</f>
        <v>120000</v>
      </c>
      <c r="I62" s="223">
        <f>'2. Bevétel funkció'!H125</f>
        <v>88591</v>
      </c>
      <c r="J62" s="262">
        <f t="shared" si="2"/>
        <v>0.7382583333333333</v>
      </c>
    </row>
    <row r="63" spans="1:10" s="142" customFormat="1" ht="15.75" customHeight="1">
      <c r="A63" s="221"/>
      <c r="B63" s="141"/>
      <c r="C63" s="141"/>
      <c r="D63" s="364" t="s">
        <v>444</v>
      </c>
      <c r="E63" s="365"/>
      <c r="F63" s="204"/>
      <c r="G63" s="212"/>
      <c r="H63" s="223">
        <f>'2. Bevétel funkció'!G130</f>
        <v>3228</v>
      </c>
      <c r="I63" s="223">
        <f>'2. Bevétel funkció'!H130</f>
        <v>3228</v>
      </c>
      <c r="J63" s="262">
        <f t="shared" si="2"/>
        <v>1</v>
      </c>
    </row>
    <row r="64" spans="1:10" s="142" customFormat="1" ht="15.75" customHeight="1">
      <c r="A64" s="221"/>
      <c r="B64" s="141"/>
      <c r="C64" s="29" t="s">
        <v>85</v>
      </c>
      <c r="D64" s="29" t="s">
        <v>133</v>
      </c>
      <c r="E64" s="29"/>
      <c r="F64" s="204"/>
      <c r="G64" s="212">
        <f>'2. Bevétel funkció'!F49</f>
        <v>1200000</v>
      </c>
      <c r="H64" s="223">
        <f>'2. Bevétel funkció'!G49</f>
        <v>1543128</v>
      </c>
      <c r="I64" s="223">
        <f>'2. Bevétel funkció'!H49</f>
        <v>1338789</v>
      </c>
      <c r="J64" s="262">
        <f t="shared" si="2"/>
        <v>0.8675813023935798</v>
      </c>
    </row>
    <row r="65" spans="1:10" s="142" customFormat="1" ht="15.75" customHeight="1">
      <c r="A65" s="221"/>
      <c r="B65" s="141"/>
      <c r="C65" s="29" t="s">
        <v>50</v>
      </c>
      <c r="D65" s="29" t="s">
        <v>51</v>
      </c>
      <c r="E65" s="29"/>
      <c r="F65" s="204"/>
      <c r="G65" s="212">
        <f>'2. Bevétel funkció'!F42+'2. Bevétel funkció'!F50+'2. Bevétel funkció'!F86+'2. Bevétel funkció'!F91+'2. Bevétel funkció'!F118+'2. Bevétel funkció'!F126</f>
        <v>29581400</v>
      </c>
      <c r="H65" s="223">
        <f>'2. Bevétel funkció'!G42+'2. Bevétel funkció'!G50+'2. Bevétel funkció'!G86+'2. Bevétel funkció'!G91+'2. Bevétel funkció'!G118+'2. Bevétel funkció'!G126+'2. Bevétel funkció'!G131</f>
        <v>31516509</v>
      </c>
      <c r="I65" s="223">
        <f>'2. Bevétel funkció'!H42+'2. Bevétel funkció'!H50+'2. Bevétel funkció'!H86+'2. Bevétel funkció'!H91+'2. Bevétel funkció'!H118+'2. Bevétel funkció'!H126+'2. Bevétel funkció'!H131</f>
        <v>31443799</v>
      </c>
      <c r="J65" s="262">
        <f t="shared" si="2"/>
        <v>0.9976929551429696</v>
      </c>
    </row>
    <row r="66" spans="1:10" s="142" customFormat="1" ht="15.75" customHeight="1">
      <c r="A66" s="221"/>
      <c r="B66" s="141"/>
      <c r="C66" s="29" t="s">
        <v>377</v>
      </c>
      <c r="D66" s="29" t="s">
        <v>380</v>
      </c>
      <c r="E66" s="29"/>
      <c r="F66" s="204"/>
      <c r="G66" s="212">
        <f>'2. Bevétel funkció'!F119</f>
        <v>14445000</v>
      </c>
      <c r="H66" s="223">
        <f>'2. Bevétel funkció'!G119</f>
        <v>20000</v>
      </c>
      <c r="I66" s="223">
        <f>'2. Bevétel funkció'!H119</f>
        <v>20000</v>
      </c>
      <c r="J66" s="262">
        <f t="shared" si="2"/>
        <v>1</v>
      </c>
    </row>
    <row r="67" spans="1:10" ht="15.75" customHeight="1">
      <c r="A67" s="184"/>
      <c r="B67" s="29"/>
      <c r="C67" s="29" t="s">
        <v>52</v>
      </c>
      <c r="D67" s="29" t="s">
        <v>53</v>
      </c>
      <c r="E67" s="29"/>
      <c r="F67" s="205"/>
      <c r="G67" s="179">
        <f>'2. Bevétel funkció'!F15</f>
        <v>1000</v>
      </c>
      <c r="H67" s="185">
        <f>'2. Bevétel funkció'!G15</f>
        <v>1000</v>
      </c>
      <c r="I67" s="185">
        <f>'2. Bevétel funkció'!H15</f>
        <v>102</v>
      </c>
      <c r="J67" s="262">
        <f t="shared" si="2"/>
        <v>0.102</v>
      </c>
    </row>
    <row r="68" spans="1:10" ht="15.75" customHeight="1">
      <c r="A68" s="184"/>
      <c r="B68" s="29"/>
      <c r="C68" s="29" t="s">
        <v>397</v>
      </c>
      <c r="D68" s="29" t="s">
        <v>398</v>
      </c>
      <c r="E68" s="29"/>
      <c r="F68" s="205"/>
      <c r="G68" s="179"/>
      <c r="H68" s="185">
        <f>'2. Bevétel funkció'!G107</f>
        <v>19232362</v>
      </c>
      <c r="I68" s="185">
        <f>'2. Bevétel funkció'!H107</f>
        <v>19232362</v>
      </c>
      <c r="J68" s="262">
        <f t="shared" si="2"/>
        <v>1</v>
      </c>
    </row>
    <row r="69" spans="1:10" ht="15.75" customHeight="1">
      <c r="A69" s="184"/>
      <c r="B69" s="29"/>
      <c r="C69" s="29" t="s">
        <v>422</v>
      </c>
      <c r="D69" s="29" t="s">
        <v>423</v>
      </c>
      <c r="E69" s="29"/>
      <c r="F69" s="205"/>
      <c r="G69" s="179"/>
      <c r="H69" s="185">
        <f>'2. Bevétel funkció'!G16</f>
        <v>937719</v>
      </c>
      <c r="I69" s="185">
        <f>'2. Bevétel funkció'!H16</f>
        <v>1026126</v>
      </c>
      <c r="J69" s="262">
        <f>I69/H69</f>
        <v>1.0942787764778148</v>
      </c>
    </row>
    <row r="70" spans="1:10" ht="15.75" customHeight="1">
      <c r="A70" s="184"/>
      <c r="B70" s="29"/>
      <c r="C70" s="29"/>
      <c r="D70" s="29"/>
      <c r="E70" s="29"/>
      <c r="F70" s="169"/>
      <c r="G70" s="144"/>
      <c r="H70" s="219"/>
      <c r="I70" s="219"/>
      <c r="J70" s="219"/>
    </row>
    <row r="71" spans="1:10" ht="15.75" customHeight="1">
      <c r="A71" s="187" t="s">
        <v>15</v>
      </c>
      <c r="B71" s="30"/>
      <c r="C71" s="30" t="s">
        <v>16</v>
      </c>
      <c r="D71" s="30"/>
      <c r="E71" s="30"/>
      <c r="F71" s="206"/>
      <c r="G71" s="163">
        <f>SUM(G72:G72)</f>
        <v>600000</v>
      </c>
      <c r="H71" s="181">
        <f>SUM(H72:H72)</f>
        <v>600000</v>
      </c>
      <c r="I71" s="181">
        <f>SUM(I72:I72)</f>
        <v>598140</v>
      </c>
      <c r="J71" s="265">
        <f>I71/H71</f>
        <v>0.9969</v>
      </c>
    </row>
    <row r="72" spans="1:10" ht="15.75" customHeight="1">
      <c r="A72" s="184"/>
      <c r="B72" s="29" t="s">
        <v>54</v>
      </c>
      <c r="C72" s="29"/>
      <c r="D72" s="29" t="s">
        <v>55</v>
      </c>
      <c r="E72" s="29"/>
      <c r="F72" s="207"/>
      <c r="G72" s="179">
        <v>600000</v>
      </c>
      <c r="H72" s="185">
        <v>600000</v>
      </c>
      <c r="I72" s="185">
        <f>'2. Bevétel funkció'!H141</f>
        <v>598140</v>
      </c>
      <c r="J72" s="262">
        <f>I72/H72</f>
        <v>0.9969</v>
      </c>
    </row>
    <row r="73" spans="1:10" ht="15.75" customHeight="1">
      <c r="A73" s="184"/>
      <c r="B73" s="29"/>
      <c r="C73" s="29"/>
      <c r="D73" s="29"/>
      <c r="E73" s="29"/>
      <c r="F73" s="207"/>
      <c r="G73" s="179"/>
      <c r="H73" s="219"/>
      <c r="I73" s="219"/>
      <c r="J73" s="219"/>
    </row>
    <row r="74" spans="1:10" ht="15.75" customHeight="1">
      <c r="A74" s="187" t="s">
        <v>10</v>
      </c>
      <c r="B74" s="30"/>
      <c r="C74" s="30" t="s">
        <v>11</v>
      </c>
      <c r="D74" s="30"/>
      <c r="E74" s="30"/>
      <c r="F74" s="206"/>
      <c r="G74" s="163">
        <f>SUM(G75:G75)</f>
        <v>300000</v>
      </c>
      <c r="H74" s="181">
        <f>SUM(H75:H76)</f>
        <v>1400000</v>
      </c>
      <c r="I74" s="181">
        <f>SUM(I75:I76)</f>
        <v>1625125</v>
      </c>
      <c r="J74" s="265">
        <f>I74/H74</f>
        <v>1.1608035714285714</v>
      </c>
    </row>
    <row r="75" spans="1:10" ht="15.75" customHeight="1">
      <c r="A75" s="184"/>
      <c r="B75" s="29" t="s">
        <v>56</v>
      </c>
      <c r="C75" s="29"/>
      <c r="D75" s="29" t="s">
        <v>135</v>
      </c>
      <c r="E75" s="29"/>
      <c r="F75" s="207"/>
      <c r="G75" s="179">
        <f>'2. Bevétel funkció'!F19</f>
        <v>300000</v>
      </c>
      <c r="H75" s="185">
        <f>'2. Bevétel funkció'!G19</f>
        <v>300000</v>
      </c>
      <c r="I75" s="185">
        <f>'2. Bevétel funkció'!H19</f>
        <v>138140</v>
      </c>
      <c r="J75" s="262">
        <f>I75/H75</f>
        <v>0.4604666666666667</v>
      </c>
    </row>
    <row r="76" spans="1:10" ht="15.75" customHeight="1">
      <c r="A76" s="184"/>
      <c r="B76" s="29" t="s">
        <v>399</v>
      </c>
      <c r="C76" s="29"/>
      <c r="D76" s="29" t="s">
        <v>400</v>
      </c>
      <c r="E76" s="29"/>
      <c r="F76" s="207"/>
      <c r="G76" s="179"/>
      <c r="H76" s="185">
        <f>'2. Bevétel funkció'!G108</f>
        <v>1100000</v>
      </c>
      <c r="I76" s="185">
        <f>'2. Bevétel funkció'!H108+'2. Bevétel funkció'!H133</f>
        <v>1486985</v>
      </c>
      <c r="J76" s="262">
        <f>I76/H76</f>
        <v>1.3518045454545455</v>
      </c>
    </row>
    <row r="77" spans="1:10" ht="15.75" customHeight="1">
      <c r="A77" s="184"/>
      <c r="B77" s="29"/>
      <c r="C77" s="29"/>
      <c r="D77" s="29"/>
      <c r="E77" s="29"/>
      <c r="F77" s="207"/>
      <c r="G77" s="179"/>
      <c r="H77" s="219"/>
      <c r="I77" s="219"/>
      <c r="J77" s="219"/>
    </row>
    <row r="78" spans="1:10" ht="15.75" customHeight="1">
      <c r="A78" s="224" t="s">
        <v>17</v>
      </c>
      <c r="B78" s="34"/>
      <c r="C78" s="34" t="s">
        <v>18</v>
      </c>
      <c r="D78" s="34"/>
      <c r="E78" s="34"/>
      <c r="F78" s="208"/>
      <c r="G78" s="213">
        <f aca="true" t="shared" si="3" ref="G78:I79">G79</f>
        <v>53500000</v>
      </c>
      <c r="H78" s="225">
        <f t="shared" si="3"/>
        <v>143326250</v>
      </c>
      <c r="I78" s="225">
        <f t="shared" si="3"/>
        <v>143326250</v>
      </c>
      <c r="J78" s="265">
        <f>I78/H78</f>
        <v>1</v>
      </c>
    </row>
    <row r="79" spans="1:10" ht="15.75" customHeight="1">
      <c r="A79" s="182" t="s">
        <v>17</v>
      </c>
      <c r="B79" s="28"/>
      <c r="C79" s="28" t="s">
        <v>16</v>
      </c>
      <c r="D79" s="29"/>
      <c r="E79" s="29"/>
      <c r="F79" s="209"/>
      <c r="G79" s="214">
        <f t="shared" si="3"/>
        <v>53500000</v>
      </c>
      <c r="H79" s="226">
        <f t="shared" si="3"/>
        <v>143326250</v>
      </c>
      <c r="I79" s="226">
        <f t="shared" si="3"/>
        <v>143326250</v>
      </c>
      <c r="J79" s="264">
        <f>I79/H79</f>
        <v>1</v>
      </c>
    </row>
    <row r="80" spans="1:10" ht="15.75" customHeight="1">
      <c r="A80" s="184"/>
      <c r="B80" s="29"/>
      <c r="C80" s="29" t="s">
        <v>378</v>
      </c>
      <c r="D80" s="29" t="s">
        <v>379</v>
      </c>
      <c r="E80" s="29"/>
      <c r="F80" s="210"/>
      <c r="G80" s="215">
        <v>53500000</v>
      </c>
      <c r="H80" s="227">
        <f>'2. Bevétel funkció'!G113+'2. Bevétel funkció'!G93+'2. Bevétel funkció'!G22+'2. Bevétel funkció'!G120</f>
        <v>143326250</v>
      </c>
      <c r="I80" s="227">
        <f>'2. Bevétel funkció'!H113+'2. Bevétel funkció'!H93+'2. Bevétel funkció'!H22+'2. Bevétel funkció'!H120</f>
        <v>143326250</v>
      </c>
      <c r="J80" s="262">
        <f>I80/H80</f>
        <v>1</v>
      </c>
    </row>
    <row r="81" spans="1:10" ht="18.75" customHeight="1">
      <c r="A81" s="184"/>
      <c r="B81" s="29"/>
      <c r="C81" s="29"/>
      <c r="D81" s="29"/>
      <c r="E81" s="29"/>
      <c r="F81" s="169"/>
      <c r="G81" s="144"/>
      <c r="H81" s="219"/>
      <c r="I81" s="219"/>
      <c r="J81" s="219"/>
    </row>
    <row r="82" spans="1:10" ht="15.75" customHeight="1">
      <c r="A82" s="187" t="s">
        <v>20</v>
      </c>
      <c r="B82" s="30"/>
      <c r="C82" s="30" t="s">
        <v>19</v>
      </c>
      <c r="D82" s="30"/>
      <c r="E82" s="30"/>
      <c r="F82" s="206"/>
      <c r="G82" s="163">
        <f>G83</f>
        <v>229309157</v>
      </c>
      <c r="H82" s="181">
        <f>H83</f>
        <v>107603332</v>
      </c>
      <c r="I82" s="181">
        <f>I83</f>
        <v>107603332</v>
      </c>
      <c r="J82" s="265">
        <f>I82/H82</f>
        <v>1</v>
      </c>
    </row>
    <row r="83" spans="1:10" ht="15.75" customHeight="1">
      <c r="A83" s="184"/>
      <c r="B83" s="28" t="s">
        <v>105</v>
      </c>
      <c r="C83" s="28"/>
      <c r="D83" s="28" t="s">
        <v>106</v>
      </c>
      <c r="E83" s="28"/>
      <c r="F83" s="207"/>
      <c r="G83" s="178">
        <f>G84+G85</f>
        <v>229309157</v>
      </c>
      <c r="H83" s="183">
        <f>H84+H85</f>
        <v>107603332</v>
      </c>
      <c r="I83" s="183">
        <f>I84+I85</f>
        <v>107603332</v>
      </c>
      <c r="J83" s="264">
        <f>I83/H83</f>
        <v>1</v>
      </c>
    </row>
    <row r="84" spans="1:10" ht="15.75" customHeight="1">
      <c r="A84" s="184"/>
      <c r="B84" s="29"/>
      <c r="C84" s="29" t="s">
        <v>107</v>
      </c>
      <c r="D84" s="29"/>
      <c r="E84" s="29" t="s">
        <v>108</v>
      </c>
      <c r="F84" s="207"/>
      <c r="G84" s="179">
        <f>'2. Bevétel funkció'!F73</f>
        <v>223309157</v>
      </c>
      <c r="H84" s="185">
        <f>'2. Bevétel funkció'!G73</f>
        <v>100581105</v>
      </c>
      <c r="I84" s="185">
        <f>'2. Bevétel funkció'!H73</f>
        <v>100581105</v>
      </c>
      <c r="J84" s="262">
        <f>I84/H84</f>
        <v>1</v>
      </c>
    </row>
    <row r="85" spans="1:10" ht="15.75" customHeight="1">
      <c r="A85" s="184"/>
      <c r="B85" s="29"/>
      <c r="C85" s="29" t="s">
        <v>136</v>
      </c>
      <c r="D85" s="29"/>
      <c r="E85" s="29" t="s">
        <v>137</v>
      </c>
      <c r="F85" s="169"/>
      <c r="G85" s="144">
        <f>'2. Bevétel funkció'!F64</f>
        <v>6000000</v>
      </c>
      <c r="H85" s="191">
        <f>'2. Bevétel funkció'!G64</f>
        <v>7022227</v>
      </c>
      <c r="I85" s="191">
        <f>'2. Bevétel funkció'!H64</f>
        <v>7022227</v>
      </c>
      <c r="J85" s="262">
        <f>I85/H85</f>
        <v>1</v>
      </c>
    </row>
    <row r="86" spans="1:10" ht="15.75" customHeight="1" thickBot="1">
      <c r="A86" s="228"/>
      <c r="B86" s="229"/>
      <c r="C86" s="229" t="s">
        <v>119</v>
      </c>
      <c r="D86" s="229"/>
      <c r="E86" s="229"/>
      <c r="F86" s="230"/>
      <c r="G86" s="231">
        <f>G10+G34+G39+G53+G71+G74+G78+G82</f>
        <v>698302480</v>
      </c>
      <c r="H86" s="232">
        <f>H10+H34+H39+H53+H71+H74+H78+H82</f>
        <v>689841466</v>
      </c>
      <c r="I86" s="232">
        <f>I10+I34+I39+I53+I71+I74+I78+I82</f>
        <v>689876926</v>
      </c>
      <c r="J86" s="265">
        <f>I86/H86</f>
        <v>1.0000514031146976</v>
      </c>
    </row>
  </sheetData>
  <sheetProtection selectLockedCells="1" selectUnlockedCells="1"/>
  <mergeCells count="20">
    <mergeCell ref="D58:E58"/>
    <mergeCell ref="I7:I9"/>
    <mergeCell ref="J7:J9"/>
    <mergeCell ref="A1:J1"/>
    <mergeCell ref="A3:J3"/>
    <mergeCell ref="A4:J4"/>
    <mergeCell ref="A5:J5"/>
    <mergeCell ref="A7:F9"/>
    <mergeCell ref="G7:G9"/>
    <mergeCell ref="H7:H9"/>
    <mergeCell ref="D63:E63"/>
    <mergeCell ref="D62:E62"/>
    <mergeCell ref="D59:E59"/>
    <mergeCell ref="E31:F31"/>
    <mergeCell ref="D56:E56"/>
    <mergeCell ref="D61:E61"/>
    <mergeCell ref="D36:E36"/>
    <mergeCell ref="D37:E37"/>
    <mergeCell ref="D60:E60"/>
    <mergeCell ref="D57:E57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71" r:id="rId1"/>
  <rowBreaks count="1" manualBreakCount="1">
    <brk id="5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PageLayoutView="0" workbookViewId="0" topLeftCell="A1">
      <selection activeCell="E29" sqref="E29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7.28125" style="1" customWidth="1"/>
    <col min="5" max="6" width="14.00390625" style="1" bestFit="1" customWidth="1"/>
    <col min="7" max="7" width="9.421875" style="1" customWidth="1"/>
    <col min="8" max="8" width="14.00390625" style="1" bestFit="1" customWidth="1"/>
    <col min="9" max="16384" width="9.140625" style="1" customWidth="1"/>
  </cols>
  <sheetData>
    <row r="1" spans="1:8" ht="15.75">
      <c r="A1" s="388" t="s">
        <v>445</v>
      </c>
      <c r="B1" s="388"/>
      <c r="C1" s="388"/>
      <c r="D1" s="388"/>
      <c r="E1" s="388"/>
      <c r="F1" s="388"/>
      <c r="G1" s="388"/>
      <c r="H1" s="388"/>
    </row>
    <row r="2" spans="1:8" ht="15.75">
      <c r="A2" s="35"/>
      <c r="B2" s="35"/>
      <c r="C2" s="35"/>
      <c r="D2" s="3"/>
      <c r="E2" s="3"/>
      <c r="F2" s="3"/>
      <c r="G2" s="3"/>
      <c r="H2" s="3"/>
    </row>
    <row r="3" spans="1:8" ht="15.75">
      <c r="A3" s="339" t="s">
        <v>0</v>
      </c>
      <c r="B3" s="339"/>
      <c r="C3" s="339"/>
      <c r="D3" s="339"/>
      <c r="E3" s="339"/>
      <c r="F3" s="339"/>
      <c r="G3" s="339"/>
      <c r="H3" s="339"/>
    </row>
    <row r="4" spans="1:8" ht="15.75">
      <c r="A4" s="389" t="s">
        <v>466</v>
      </c>
      <c r="B4" s="389"/>
      <c r="C4" s="389"/>
      <c r="D4" s="389"/>
      <c r="E4" s="389"/>
      <c r="F4" s="389"/>
      <c r="G4" s="389"/>
      <c r="H4" s="389"/>
    </row>
    <row r="5" spans="1:8" ht="15.75">
      <c r="A5" s="389" t="s">
        <v>138</v>
      </c>
      <c r="B5" s="389"/>
      <c r="C5" s="389"/>
      <c r="D5" s="389"/>
      <c r="E5" s="389"/>
      <c r="F5" s="389"/>
      <c r="G5" s="389"/>
      <c r="H5" s="389"/>
    </row>
    <row r="6" spans="4:8" ht="15.75">
      <c r="D6" s="36"/>
      <c r="E6" s="390" t="s">
        <v>139</v>
      </c>
      <c r="F6" s="390"/>
      <c r="G6" s="390"/>
      <c r="H6" s="390"/>
    </row>
    <row r="7" spans="1:8" ht="12.75" customHeight="1">
      <c r="A7" s="391" t="s">
        <v>140</v>
      </c>
      <c r="B7" s="391"/>
      <c r="C7" s="391"/>
      <c r="D7" s="391"/>
      <c r="E7" s="392" t="s">
        <v>141</v>
      </c>
      <c r="F7" s="392" t="s">
        <v>142</v>
      </c>
      <c r="G7" s="392" t="s">
        <v>143</v>
      </c>
      <c r="H7" s="392" t="s">
        <v>144</v>
      </c>
    </row>
    <row r="8" spans="1:8" ht="15.75">
      <c r="A8" s="391"/>
      <c r="B8" s="391"/>
      <c r="C8" s="391"/>
      <c r="D8" s="391"/>
      <c r="E8" s="392"/>
      <c r="F8" s="392"/>
      <c r="G8" s="392"/>
      <c r="H8" s="392"/>
    </row>
    <row r="9" spans="1:8" ht="38.25" customHeight="1">
      <c r="A9" s="391"/>
      <c r="B9" s="391"/>
      <c r="C9" s="391"/>
      <c r="D9" s="391"/>
      <c r="E9" s="392"/>
      <c r="F9" s="392"/>
      <c r="G9" s="392"/>
      <c r="H9" s="392"/>
    </row>
    <row r="10" spans="1:9" ht="15.75">
      <c r="A10" s="384" t="s">
        <v>145</v>
      </c>
      <c r="B10" s="384"/>
      <c r="C10" s="384"/>
      <c r="D10" s="384"/>
      <c r="E10" s="38">
        <f>'2. Bevétel funkció'!H10</f>
        <v>2260808</v>
      </c>
      <c r="F10" s="39"/>
      <c r="G10" s="39"/>
      <c r="H10" s="38">
        <f aca="true" t="shared" si="0" ref="H10:H28">E10+F10+G10</f>
        <v>2260808</v>
      </c>
      <c r="I10" s="40"/>
    </row>
    <row r="11" spans="1:9" ht="15.75">
      <c r="A11" s="41" t="s">
        <v>146</v>
      </c>
      <c r="B11" s="41"/>
      <c r="C11" s="41"/>
      <c r="D11" s="41"/>
      <c r="E11" s="42">
        <f>'2. Bevétel funkció'!H24</f>
        <v>105066920</v>
      </c>
      <c r="F11" s="42"/>
      <c r="G11" s="43"/>
      <c r="H11" s="38">
        <f t="shared" si="0"/>
        <v>105066920</v>
      </c>
      <c r="I11" s="44"/>
    </row>
    <row r="12" spans="1:9" ht="15.75">
      <c r="A12" s="384" t="s">
        <v>147</v>
      </c>
      <c r="B12" s="384"/>
      <c r="C12" s="384"/>
      <c r="D12" s="384"/>
      <c r="E12" s="38">
        <f>'2. Bevétel funkció'!H39</f>
        <v>72390</v>
      </c>
      <c r="F12" s="38"/>
      <c r="G12" s="45"/>
      <c r="H12" s="38">
        <f t="shared" si="0"/>
        <v>72390</v>
      </c>
      <c r="I12" s="44"/>
    </row>
    <row r="13" spans="1:9" ht="15.75">
      <c r="A13" s="384" t="s">
        <v>148</v>
      </c>
      <c r="B13" s="384"/>
      <c r="C13" s="384"/>
      <c r="D13" s="384"/>
      <c r="E13" s="38">
        <f>'2. Bevétel funkció'!H44</f>
        <v>105575331</v>
      </c>
      <c r="F13" s="38"/>
      <c r="G13" s="45"/>
      <c r="H13" s="38">
        <f t="shared" si="0"/>
        <v>105575331</v>
      </c>
      <c r="I13" s="44"/>
    </row>
    <row r="14" spans="1:9" ht="15.75">
      <c r="A14" s="385" t="s">
        <v>149</v>
      </c>
      <c r="B14" s="385"/>
      <c r="C14" s="385"/>
      <c r="D14" s="385"/>
      <c r="E14" s="42">
        <f>'2. Bevétel funkció'!H52</f>
        <v>105251253</v>
      </c>
      <c r="F14" s="42"/>
      <c r="G14" s="43"/>
      <c r="H14" s="38">
        <f t="shared" si="0"/>
        <v>105251253</v>
      </c>
      <c r="I14" s="44"/>
    </row>
    <row r="15" spans="1:9" ht="15.75">
      <c r="A15" s="41" t="s">
        <v>150</v>
      </c>
      <c r="B15" s="41"/>
      <c r="C15" s="41"/>
      <c r="D15" s="41"/>
      <c r="E15" s="42">
        <f>'2. Bevétel funkció'!H62</f>
        <v>7022227</v>
      </c>
      <c r="F15" s="42"/>
      <c r="G15" s="43"/>
      <c r="H15" s="38">
        <f t="shared" si="0"/>
        <v>7022227</v>
      </c>
      <c r="I15" s="44"/>
    </row>
    <row r="16" spans="1:9" ht="15.75">
      <c r="A16" s="385" t="s">
        <v>151</v>
      </c>
      <c r="B16" s="385"/>
      <c r="C16" s="385"/>
      <c r="D16" s="385"/>
      <c r="E16" s="42">
        <f>'2. Bevétel funkció'!H66</f>
        <v>107552045</v>
      </c>
      <c r="F16" s="42"/>
      <c r="G16" s="43"/>
      <c r="H16" s="38">
        <f t="shared" si="0"/>
        <v>107552045</v>
      </c>
      <c r="I16" s="44"/>
    </row>
    <row r="17" spans="1:9" ht="15.75">
      <c r="A17" s="41" t="s">
        <v>152</v>
      </c>
      <c r="B17" s="41"/>
      <c r="C17" s="41"/>
      <c r="D17" s="41"/>
      <c r="E17" s="42">
        <f>'2. Bevétel funkció'!H75</f>
        <v>359589</v>
      </c>
      <c r="F17" s="42"/>
      <c r="G17" s="43"/>
      <c r="H17" s="38">
        <f t="shared" si="0"/>
        <v>359589</v>
      </c>
      <c r="I17" s="44"/>
    </row>
    <row r="18" spans="1:9" ht="15.75">
      <c r="A18" s="385" t="s">
        <v>384</v>
      </c>
      <c r="B18" s="385"/>
      <c r="C18" s="385"/>
      <c r="D18" s="385"/>
      <c r="E18" s="42"/>
      <c r="F18" s="42">
        <f>'2. Bevétel funkció'!H79</f>
        <v>7488555</v>
      </c>
      <c r="G18" s="43"/>
      <c r="H18" s="38">
        <f t="shared" si="0"/>
        <v>7488555</v>
      </c>
      <c r="I18" s="44"/>
    </row>
    <row r="19" spans="1:9" ht="15.75">
      <c r="A19" s="41" t="s">
        <v>342</v>
      </c>
      <c r="B19" s="41"/>
      <c r="C19" s="41"/>
      <c r="D19" s="41"/>
      <c r="E19" s="42"/>
      <c r="F19" s="42">
        <f>'2. Bevétel funkció'!H83</f>
        <v>520000</v>
      </c>
      <c r="G19" s="43"/>
      <c r="H19" s="38">
        <f t="shared" si="0"/>
        <v>520000</v>
      </c>
      <c r="I19" s="44"/>
    </row>
    <row r="20" spans="1:9" ht="15.75">
      <c r="A20" s="384" t="s">
        <v>110</v>
      </c>
      <c r="B20" s="384"/>
      <c r="C20" s="384"/>
      <c r="D20" s="384"/>
      <c r="E20" s="38"/>
      <c r="F20" s="38">
        <f>'2. Bevétel funkció'!H88</f>
        <v>54017405</v>
      </c>
      <c r="G20" s="45"/>
      <c r="H20" s="38">
        <f t="shared" si="0"/>
        <v>54017405</v>
      </c>
      <c r="I20" s="44"/>
    </row>
    <row r="21" spans="1:9" ht="15.75">
      <c r="A21" s="384" t="s">
        <v>428</v>
      </c>
      <c r="B21" s="384"/>
      <c r="C21" s="384"/>
      <c r="D21" s="384"/>
      <c r="E21" s="38"/>
      <c r="F21" s="38">
        <f>'2. Bevétel funkció'!H95</f>
        <v>12374828</v>
      </c>
      <c r="G21" s="45"/>
      <c r="H21" s="38">
        <f t="shared" si="0"/>
        <v>12374828</v>
      </c>
      <c r="I21" s="44"/>
    </row>
    <row r="22" spans="1:9" ht="15.75">
      <c r="A22" s="384" t="s">
        <v>113</v>
      </c>
      <c r="B22" s="384"/>
      <c r="C22" s="384"/>
      <c r="D22" s="384"/>
      <c r="E22" s="38">
        <f>'2. Bevétel funkció'!H100</f>
        <v>50835566</v>
      </c>
      <c r="F22" s="38"/>
      <c r="G22" s="45"/>
      <c r="H22" s="38">
        <f t="shared" si="0"/>
        <v>50835566</v>
      </c>
      <c r="I22" s="46"/>
    </row>
    <row r="23" spans="1:9" ht="15.75">
      <c r="A23" s="384" t="s">
        <v>114</v>
      </c>
      <c r="B23" s="384"/>
      <c r="C23" s="384"/>
      <c r="D23" s="384"/>
      <c r="E23" s="38">
        <v>0</v>
      </c>
      <c r="F23" s="38"/>
      <c r="G23" s="45"/>
      <c r="H23" s="38">
        <f t="shared" si="0"/>
        <v>0</v>
      </c>
      <c r="I23" s="46"/>
    </row>
    <row r="24" spans="1:9" ht="34.5" customHeight="1">
      <c r="A24" s="387" t="s">
        <v>417</v>
      </c>
      <c r="B24" s="387"/>
      <c r="C24" s="387"/>
      <c r="D24" s="387"/>
      <c r="E24" s="38">
        <f>'2. Bevétel funkció'!H111</f>
        <v>103000</v>
      </c>
      <c r="F24" s="38"/>
      <c r="G24" s="45"/>
      <c r="H24" s="38">
        <f t="shared" si="0"/>
        <v>103000</v>
      </c>
      <c r="I24" s="46"/>
    </row>
    <row r="25" spans="1:9" ht="15.75">
      <c r="A25" s="387" t="s">
        <v>115</v>
      </c>
      <c r="B25" s="387"/>
      <c r="C25" s="387"/>
      <c r="D25" s="387"/>
      <c r="E25" s="38"/>
      <c r="F25" s="38"/>
      <c r="G25" s="45"/>
      <c r="H25" s="38"/>
      <c r="I25" s="46"/>
    </row>
    <row r="26" spans="1:9" ht="15.75">
      <c r="A26" s="384" t="s">
        <v>116</v>
      </c>
      <c r="B26" s="384"/>
      <c r="C26" s="384"/>
      <c r="D26" s="384"/>
      <c r="E26" s="38"/>
      <c r="F26" s="38">
        <f>'2. Bevétel funkció'!H115</f>
        <v>131048299</v>
      </c>
      <c r="G26" s="45"/>
      <c r="H26" s="38">
        <f t="shared" si="0"/>
        <v>131048299</v>
      </c>
      <c r="I26" s="46"/>
    </row>
    <row r="27" spans="1:9" ht="15.75">
      <c r="A27" s="384" t="s">
        <v>118</v>
      </c>
      <c r="B27" s="384"/>
      <c r="C27" s="384"/>
      <c r="D27" s="384"/>
      <c r="E27" s="38"/>
      <c r="F27" s="38">
        <f>'2. Bevétel funkció'!H123</f>
        <v>112510</v>
      </c>
      <c r="G27" s="45"/>
      <c r="H27" s="38">
        <f t="shared" si="0"/>
        <v>112510</v>
      </c>
      <c r="I27" s="46"/>
    </row>
    <row r="28" spans="1:9" ht="15.75">
      <c r="A28" s="384" t="s">
        <v>153</v>
      </c>
      <c r="B28" s="384"/>
      <c r="C28" s="384"/>
      <c r="D28" s="384"/>
      <c r="E28" s="38">
        <f>'2. Bevétel funkció'!H128</f>
        <v>216200</v>
      </c>
      <c r="F28" s="38">
        <v>0</v>
      </c>
      <c r="G28" s="45"/>
      <c r="H28" s="38">
        <f t="shared" si="0"/>
        <v>216200</v>
      </c>
      <c r="I28" s="46"/>
    </row>
    <row r="29" spans="1:9" ht="15.75">
      <c r="A29" s="386" t="s">
        <v>119</v>
      </c>
      <c r="B29" s="386"/>
      <c r="C29" s="386"/>
      <c r="D29" s="386"/>
      <c r="E29" s="48">
        <f>SUM(E10:E28)</f>
        <v>484315329</v>
      </c>
      <c r="F29" s="48">
        <f>SUM(F10:F28)</f>
        <v>205561597</v>
      </c>
      <c r="G29" s="48">
        <f>SUM(G10:G28)</f>
        <v>0</v>
      </c>
      <c r="H29" s="48">
        <f>SUM(H10:H28)</f>
        <v>689876926</v>
      </c>
      <c r="I29" s="44"/>
    </row>
  </sheetData>
  <sheetProtection selectLockedCells="1" selectUnlockedCells="1"/>
  <mergeCells count="26">
    <mergeCell ref="A1:H1"/>
    <mergeCell ref="A3:H3"/>
    <mergeCell ref="A4:H4"/>
    <mergeCell ref="A5:H5"/>
    <mergeCell ref="E6:H6"/>
    <mergeCell ref="A7:D9"/>
    <mergeCell ref="E7:E9"/>
    <mergeCell ref="F7:F9"/>
    <mergeCell ref="G7:G9"/>
    <mergeCell ref="H7:H9"/>
    <mergeCell ref="A10:D10"/>
    <mergeCell ref="A12:D12"/>
    <mergeCell ref="A13:D13"/>
    <mergeCell ref="A14:D14"/>
    <mergeCell ref="A16:D16"/>
    <mergeCell ref="A20:D20"/>
    <mergeCell ref="A22:D22"/>
    <mergeCell ref="A18:D18"/>
    <mergeCell ref="A21:D21"/>
    <mergeCell ref="A29:D29"/>
    <mergeCell ref="A23:D23"/>
    <mergeCell ref="A24:D24"/>
    <mergeCell ref="A26:D26"/>
    <mergeCell ref="A27:D27"/>
    <mergeCell ref="A28:D28"/>
    <mergeCell ref="A25:D25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1"/>
  <sheetViews>
    <sheetView view="pageBreakPreview" zoomScaleSheetLayoutView="100" zoomScalePageLayoutView="0" workbookViewId="0" topLeftCell="A531">
      <selection activeCell="J511" sqref="J511"/>
    </sheetView>
  </sheetViews>
  <sheetFormatPr defaultColWidth="9.140625" defaultRowHeight="12.75" customHeight="1"/>
  <cols>
    <col min="1" max="1" width="3.28125" style="49" customWidth="1"/>
    <col min="2" max="2" width="4.8515625" style="46" customWidth="1"/>
    <col min="3" max="3" width="7.140625" style="46" customWidth="1"/>
    <col min="4" max="4" width="6.421875" style="46" customWidth="1"/>
    <col min="5" max="5" width="54.8515625" style="46" customWidth="1"/>
    <col min="6" max="6" width="9.8515625" style="46" customWidth="1"/>
    <col min="7" max="7" width="16.8515625" style="46" customWidth="1"/>
    <col min="8" max="8" width="14.00390625" style="1" customWidth="1"/>
    <col min="9" max="9" width="12.57421875" style="1" customWidth="1"/>
    <col min="10" max="10" width="9.7109375" style="1" customWidth="1"/>
    <col min="11" max="16384" width="9.140625" style="1" customWidth="1"/>
  </cols>
  <sheetData>
    <row r="1" spans="1:10" ht="15.75" customHeight="1">
      <c r="A1" s="394" t="s">
        <v>454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7" ht="15.75" customHeight="1">
      <c r="A2" s="331"/>
      <c r="B2" s="331"/>
      <c r="C2" s="331"/>
      <c r="D2" s="331"/>
      <c r="E2" s="331"/>
      <c r="F2" s="331"/>
      <c r="G2" s="331"/>
    </row>
    <row r="3" spans="1:10" ht="15.75" customHeight="1">
      <c r="A3" s="339" t="s">
        <v>0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ht="15.75" customHeight="1">
      <c r="A4" s="339" t="s">
        <v>467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0" ht="15.75" customHeight="1">
      <c r="A5" s="339" t="s">
        <v>43</v>
      </c>
      <c r="B5" s="339"/>
      <c r="C5" s="339"/>
      <c r="D5" s="339"/>
      <c r="E5" s="339"/>
      <c r="F5" s="339"/>
      <c r="G5" s="339"/>
      <c r="H5" s="339"/>
      <c r="I5" s="339"/>
      <c r="J5" s="339"/>
    </row>
    <row r="6" spans="1:10" ht="15.75" customHeight="1" thickBot="1">
      <c r="A6" s="394"/>
      <c r="B6" s="394"/>
      <c r="C6" s="394"/>
      <c r="D6" s="394"/>
      <c r="E6" s="394"/>
      <c r="F6" s="394"/>
      <c r="G6" s="394"/>
      <c r="H6" s="36"/>
      <c r="I6" s="36"/>
      <c r="J6" s="36" t="s">
        <v>300</v>
      </c>
    </row>
    <row r="7" spans="1:10" ht="15.75" customHeight="1">
      <c r="A7" s="378" t="s">
        <v>155</v>
      </c>
      <c r="B7" s="378"/>
      <c r="C7" s="378"/>
      <c r="D7" s="378"/>
      <c r="E7" s="378"/>
      <c r="F7" s="381" t="s">
        <v>156</v>
      </c>
      <c r="G7" s="356" t="s">
        <v>2</v>
      </c>
      <c r="H7" s="356" t="s">
        <v>390</v>
      </c>
      <c r="I7" s="397" t="s">
        <v>464</v>
      </c>
      <c r="J7" s="371" t="s">
        <v>465</v>
      </c>
    </row>
    <row r="8" spans="1:10" s="25" customFormat="1" ht="15.75" customHeight="1">
      <c r="A8" s="378"/>
      <c r="B8" s="378"/>
      <c r="C8" s="378"/>
      <c r="D8" s="378"/>
      <c r="E8" s="378"/>
      <c r="F8" s="381"/>
      <c r="G8" s="356"/>
      <c r="H8" s="356"/>
      <c r="I8" s="398"/>
      <c r="J8" s="372"/>
    </row>
    <row r="9" spans="1:10" s="44" customFormat="1" ht="15.75" customHeight="1">
      <c r="A9" s="84" t="s">
        <v>157</v>
      </c>
      <c r="B9" s="85"/>
      <c r="C9" s="85"/>
      <c r="D9" s="85"/>
      <c r="E9" s="85"/>
      <c r="F9" s="85"/>
      <c r="G9" s="86">
        <f>G10+G19+G22+G37+G43+G51</f>
        <v>124872909</v>
      </c>
      <c r="H9" s="86">
        <f>H10+H19+H22+H37+H43+H51+H48</f>
        <v>135178004</v>
      </c>
      <c r="I9" s="86">
        <f>I10+I19+I22+I37+I43+I51+I48</f>
        <v>32985647</v>
      </c>
      <c r="J9" s="266">
        <f>I9/H9</f>
        <v>0.24401637858182904</v>
      </c>
    </row>
    <row r="10" spans="1:10" s="44" customFormat="1" ht="15.75" customHeight="1">
      <c r="A10" s="87" t="s">
        <v>23</v>
      </c>
      <c r="B10" s="88"/>
      <c r="C10" s="88" t="s">
        <v>158</v>
      </c>
      <c r="D10" s="88"/>
      <c r="E10" s="88"/>
      <c r="F10" s="83">
        <v>1</v>
      </c>
      <c r="G10" s="89">
        <f>G11</f>
        <v>10095760</v>
      </c>
      <c r="H10" s="89">
        <f>H11</f>
        <v>11679761</v>
      </c>
      <c r="I10" s="89">
        <f>I11</f>
        <v>11210292</v>
      </c>
      <c r="J10" s="267">
        <f>I10/H10</f>
        <v>0.9598049138163015</v>
      </c>
    </row>
    <row r="11" spans="1:10" s="44" customFormat="1" ht="15.75" customHeight="1">
      <c r="A11" s="90"/>
      <c r="B11" s="88" t="s">
        <v>165</v>
      </c>
      <c r="C11" s="88"/>
      <c r="D11" s="88" t="s">
        <v>166</v>
      </c>
      <c r="E11" s="88"/>
      <c r="F11" s="91"/>
      <c r="G11" s="89">
        <f>G12+G18</f>
        <v>10095760</v>
      </c>
      <c r="H11" s="89">
        <f>H12+H18</f>
        <v>11679761</v>
      </c>
      <c r="I11" s="89">
        <f>I12+I18</f>
        <v>11210292</v>
      </c>
      <c r="J11" s="267">
        <f>I11/H11</f>
        <v>0.9598049138163015</v>
      </c>
    </row>
    <row r="12" spans="1:10" s="44" customFormat="1" ht="15.75" customHeight="1">
      <c r="A12" s="90"/>
      <c r="B12" s="91"/>
      <c r="C12" s="91" t="s">
        <v>167</v>
      </c>
      <c r="D12" s="91" t="s">
        <v>168</v>
      </c>
      <c r="E12" s="91"/>
      <c r="F12" s="91"/>
      <c r="G12" s="92">
        <f>SUM(G13:G17)</f>
        <v>9375760</v>
      </c>
      <c r="H12" s="92">
        <f>SUM(H13:H17)</f>
        <v>10842115</v>
      </c>
      <c r="I12" s="92">
        <f>SUM(I13:I17)</f>
        <v>10372646</v>
      </c>
      <c r="J12" s="268">
        <f>I12/H12</f>
        <v>0.9566995000514199</v>
      </c>
    </row>
    <row r="13" spans="1:10" s="44" customFormat="1" ht="15.75" customHeight="1">
      <c r="A13" s="90"/>
      <c r="B13" s="91"/>
      <c r="C13" s="91"/>
      <c r="D13" s="91"/>
      <c r="E13" s="93" t="s">
        <v>169</v>
      </c>
      <c r="F13" s="91"/>
      <c r="G13" s="94">
        <v>4786800</v>
      </c>
      <c r="H13" s="94">
        <v>4786800</v>
      </c>
      <c r="I13" s="94">
        <v>4786800</v>
      </c>
      <c r="J13" s="268">
        <f aca="true" t="shared" si="0" ref="J13:J53">I13/H13</f>
        <v>1</v>
      </c>
    </row>
    <row r="14" spans="1:10" s="44" customFormat="1" ht="15.75" customHeight="1">
      <c r="A14" s="90"/>
      <c r="B14" s="91"/>
      <c r="C14" s="91"/>
      <c r="D14" s="91"/>
      <c r="E14" s="93" t="s">
        <v>170</v>
      </c>
      <c r="F14" s="91"/>
      <c r="G14" s="94">
        <v>0</v>
      </c>
      <c r="H14" s="94">
        <v>0</v>
      </c>
      <c r="I14" s="94">
        <v>0</v>
      </c>
      <c r="J14" s="268"/>
    </row>
    <row r="15" spans="1:10" s="44" customFormat="1" ht="15.75" customHeight="1">
      <c r="A15" s="90"/>
      <c r="B15" s="91"/>
      <c r="C15" s="91"/>
      <c r="D15" s="91"/>
      <c r="E15" s="93" t="s">
        <v>164</v>
      </c>
      <c r="F15" s="91"/>
      <c r="G15" s="94">
        <v>151000</v>
      </c>
      <c r="H15" s="94">
        <v>151000</v>
      </c>
      <c r="I15" s="94">
        <v>151000</v>
      </c>
      <c r="J15" s="268">
        <f t="shared" si="0"/>
        <v>1</v>
      </c>
    </row>
    <row r="16" spans="1:10" s="44" customFormat="1" ht="15.75" customHeight="1">
      <c r="A16" s="90"/>
      <c r="B16" s="91"/>
      <c r="C16" s="91"/>
      <c r="D16" s="91"/>
      <c r="E16" s="93" t="s">
        <v>171</v>
      </c>
      <c r="F16" s="91"/>
      <c r="G16" s="94">
        <v>3720000</v>
      </c>
      <c r="H16" s="94">
        <v>5186355</v>
      </c>
      <c r="I16" s="94">
        <v>4716886</v>
      </c>
      <c r="J16" s="268">
        <f t="shared" si="0"/>
        <v>0.9094799719648964</v>
      </c>
    </row>
    <row r="17" spans="1:10" s="44" customFormat="1" ht="15.75" customHeight="1">
      <c r="A17" s="90"/>
      <c r="B17" s="91"/>
      <c r="C17" s="91"/>
      <c r="D17" s="93"/>
      <c r="E17" s="93" t="s">
        <v>172</v>
      </c>
      <c r="F17" s="91"/>
      <c r="G17" s="94">
        <v>717960</v>
      </c>
      <c r="H17" s="94">
        <v>717960</v>
      </c>
      <c r="I17" s="94">
        <v>717960</v>
      </c>
      <c r="J17" s="268">
        <f t="shared" si="0"/>
        <v>1</v>
      </c>
    </row>
    <row r="18" spans="1:10" s="44" customFormat="1" ht="15.75" customHeight="1">
      <c r="A18" s="90"/>
      <c r="B18" s="91"/>
      <c r="C18" s="91" t="s">
        <v>173</v>
      </c>
      <c r="D18" s="91" t="s">
        <v>174</v>
      </c>
      <c r="E18" s="91"/>
      <c r="F18" s="91"/>
      <c r="G18" s="92">
        <v>720000</v>
      </c>
      <c r="H18" s="92">
        <v>837646</v>
      </c>
      <c r="I18" s="92">
        <v>837646</v>
      </c>
      <c r="J18" s="268">
        <f t="shared" si="0"/>
        <v>1</v>
      </c>
    </row>
    <row r="19" spans="1:10" s="44" customFormat="1" ht="15.75" customHeight="1">
      <c r="A19" s="87" t="s">
        <v>25</v>
      </c>
      <c r="B19" s="88"/>
      <c r="C19" s="88" t="s">
        <v>175</v>
      </c>
      <c r="D19" s="95"/>
      <c r="E19" s="95"/>
      <c r="F19" s="96"/>
      <c r="G19" s="89">
        <f>SUM(G20:G21)</f>
        <v>1789408</v>
      </c>
      <c r="H19" s="89">
        <f>SUM(H20:H21)</f>
        <v>1789408</v>
      </c>
      <c r="I19" s="89">
        <f>SUM(I20:I21)</f>
        <v>1782583</v>
      </c>
      <c r="J19" s="267">
        <f t="shared" si="0"/>
        <v>0.9961858894114701</v>
      </c>
    </row>
    <row r="20" spans="1:10" s="44" customFormat="1" ht="15.75" customHeight="1">
      <c r="A20" s="90"/>
      <c r="B20" s="91"/>
      <c r="C20" s="91"/>
      <c r="D20" s="93" t="s">
        <v>176</v>
      </c>
      <c r="E20" s="91"/>
      <c r="F20" s="91"/>
      <c r="G20" s="92">
        <f>(G18+G12)*0.175</f>
        <v>1766758</v>
      </c>
      <c r="H20" s="92">
        <v>1766758</v>
      </c>
      <c r="I20" s="92">
        <v>1755237</v>
      </c>
      <c r="J20" s="268">
        <f t="shared" si="0"/>
        <v>0.9934790163678331</v>
      </c>
    </row>
    <row r="21" spans="1:10" s="44" customFormat="1" ht="15.75" customHeight="1">
      <c r="A21" s="90"/>
      <c r="B21" s="91"/>
      <c r="C21" s="91"/>
      <c r="D21" s="93" t="s">
        <v>177</v>
      </c>
      <c r="E21" s="91"/>
      <c r="F21" s="91"/>
      <c r="G21" s="92">
        <f>G15*0.15</f>
        <v>22650</v>
      </c>
      <c r="H21" s="92">
        <v>22650</v>
      </c>
      <c r="I21" s="92">
        <v>27346</v>
      </c>
      <c r="J21" s="268">
        <f t="shared" si="0"/>
        <v>1.2073289183222957</v>
      </c>
    </row>
    <row r="22" spans="1:10" s="44" customFormat="1" ht="15.75" customHeight="1">
      <c r="A22" s="87" t="s">
        <v>27</v>
      </c>
      <c r="B22" s="88"/>
      <c r="C22" s="88" t="s">
        <v>28</v>
      </c>
      <c r="D22" s="88"/>
      <c r="E22" s="88"/>
      <c r="F22" s="91"/>
      <c r="G22" s="89">
        <f>G23+G26+G29+G34</f>
        <v>19160000</v>
      </c>
      <c r="H22" s="89">
        <f>H23+H26+H29+H34</f>
        <v>14160000</v>
      </c>
      <c r="I22" s="89">
        <f>I23+I26+I29+I34</f>
        <v>13022538</v>
      </c>
      <c r="J22" s="267">
        <f t="shared" si="0"/>
        <v>0.9196707627118644</v>
      </c>
    </row>
    <row r="23" spans="1:10" s="50" customFormat="1" ht="15.75" customHeight="1">
      <c r="A23" s="97"/>
      <c r="B23" s="88" t="s">
        <v>178</v>
      </c>
      <c r="C23" s="98"/>
      <c r="D23" s="88" t="s">
        <v>179</v>
      </c>
      <c r="E23" s="99"/>
      <c r="F23" s="97"/>
      <c r="G23" s="89">
        <f>G24+G25</f>
        <v>1130000</v>
      </c>
      <c r="H23" s="89">
        <f>H24+H25</f>
        <v>1130000</v>
      </c>
      <c r="I23" s="89">
        <f>I24+I25</f>
        <v>840894</v>
      </c>
      <c r="J23" s="267">
        <f t="shared" si="0"/>
        <v>0.7441539823008849</v>
      </c>
    </row>
    <row r="24" spans="1:10" s="44" customFormat="1" ht="15.75" customHeight="1">
      <c r="A24" s="90"/>
      <c r="B24" s="91"/>
      <c r="C24" s="91" t="s">
        <v>180</v>
      </c>
      <c r="D24" s="91" t="s">
        <v>181</v>
      </c>
      <c r="E24" s="97"/>
      <c r="F24" s="97"/>
      <c r="G24" s="92">
        <v>200000</v>
      </c>
      <c r="H24" s="92">
        <v>200000</v>
      </c>
      <c r="I24" s="92">
        <v>105520</v>
      </c>
      <c r="J24" s="268">
        <f t="shared" si="0"/>
        <v>0.5276</v>
      </c>
    </row>
    <row r="25" spans="1:10" s="44" customFormat="1" ht="15.75" customHeight="1">
      <c r="A25" s="90"/>
      <c r="B25" s="91"/>
      <c r="C25" s="91" t="s">
        <v>183</v>
      </c>
      <c r="D25" s="91" t="s">
        <v>184</v>
      </c>
      <c r="E25" s="91"/>
      <c r="F25" s="91"/>
      <c r="G25" s="92">
        <v>930000</v>
      </c>
      <c r="H25" s="92">
        <v>930000</v>
      </c>
      <c r="I25" s="92">
        <v>735374</v>
      </c>
      <c r="J25" s="268">
        <f t="shared" si="0"/>
        <v>0.7907247311827957</v>
      </c>
    </row>
    <row r="26" spans="1:10" s="50" customFormat="1" ht="15.75" customHeight="1">
      <c r="A26" s="97"/>
      <c r="B26" s="88" t="s">
        <v>186</v>
      </c>
      <c r="C26" s="98"/>
      <c r="D26" s="88" t="s">
        <v>187</v>
      </c>
      <c r="E26" s="98"/>
      <c r="F26" s="93"/>
      <c r="G26" s="89">
        <f>G27+G28</f>
        <v>1800000</v>
      </c>
      <c r="H26" s="89">
        <f>H27+H28</f>
        <v>1800000</v>
      </c>
      <c r="I26" s="89">
        <f>I27+I28</f>
        <v>1353636</v>
      </c>
      <c r="J26" s="267">
        <f t="shared" si="0"/>
        <v>0.75202</v>
      </c>
    </row>
    <row r="27" spans="1:10" s="44" customFormat="1" ht="15.75" customHeight="1">
      <c r="A27" s="90"/>
      <c r="B27" s="91"/>
      <c r="C27" s="91" t="s">
        <v>188</v>
      </c>
      <c r="D27" s="91" t="s">
        <v>330</v>
      </c>
      <c r="E27" s="91"/>
      <c r="F27" s="91"/>
      <c r="G27" s="92">
        <v>1200000</v>
      </c>
      <c r="H27" s="92">
        <v>1200000</v>
      </c>
      <c r="I27" s="92">
        <v>977962</v>
      </c>
      <c r="J27" s="268">
        <f t="shared" si="0"/>
        <v>0.8149683333333333</v>
      </c>
    </row>
    <row r="28" spans="1:10" s="44" customFormat="1" ht="15.75" customHeight="1">
      <c r="A28" s="90"/>
      <c r="B28" s="91"/>
      <c r="C28" s="91" t="s">
        <v>190</v>
      </c>
      <c r="D28" s="91" t="s">
        <v>331</v>
      </c>
      <c r="E28" s="91"/>
      <c r="F28" s="91"/>
      <c r="G28" s="92">
        <v>600000</v>
      </c>
      <c r="H28" s="92">
        <v>600000</v>
      </c>
      <c r="I28" s="92">
        <v>375674</v>
      </c>
      <c r="J28" s="268">
        <f t="shared" si="0"/>
        <v>0.6261233333333334</v>
      </c>
    </row>
    <row r="29" spans="1:10" s="50" customFormat="1" ht="15.75" customHeight="1">
      <c r="A29" s="97"/>
      <c r="B29" s="88" t="s">
        <v>192</v>
      </c>
      <c r="C29" s="98"/>
      <c r="D29" s="88" t="s">
        <v>193</v>
      </c>
      <c r="E29" s="98"/>
      <c r="F29" s="93"/>
      <c r="G29" s="89">
        <f>G30+G31+G32+G33</f>
        <v>12700000</v>
      </c>
      <c r="H29" s="89">
        <f>H30+H31+H32+H33</f>
        <v>9700000</v>
      </c>
      <c r="I29" s="89">
        <f>I30+I31+I32+I33</f>
        <v>9616503</v>
      </c>
      <c r="J29" s="267">
        <f t="shared" si="0"/>
        <v>0.9913920618556701</v>
      </c>
    </row>
    <row r="30" spans="1:10" s="44" customFormat="1" ht="15.75" customHeight="1">
      <c r="A30" s="90"/>
      <c r="B30" s="91"/>
      <c r="C30" s="91" t="s">
        <v>194</v>
      </c>
      <c r="D30" s="91" t="s">
        <v>195</v>
      </c>
      <c r="E30" s="91"/>
      <c r="F30" s="91"/>
      <c r="G30" s="92">
        <v>2000000</v>
      </c>
      <c r="H30" s="92">
        <v>2000000</v>
      </c>
      <c r="I30" s="92">
        <v>1718414</v>
      </c>
      <c r="J30" s="268">
        <f t="shared" si="0"/>
        <v>0.859207</v>
      </c>
    </row>
    <row r="31" spans="1:10" s="44" customFormat="1" ht="15.75" customHeight="1">
      <c r="A31" s="90"/>
      <c r="B31" s="91"/>
      <c r="C31" s="91" t="s">
        <v>196</v>
      </c>
      <c r="D31" s="91" t="s">
        <v>197</v>
      </c>
      <c r="E31" s="91"/>
      <c r="F31" s="91"/>
      <c r="G31" s="92">
        <v>400000</v>
      </c>
      <c r="H31" s="92">
        <v>400000</v>
      </c>
      <c r="I31" s="92">
        <v>176432</v>
      </c>
      <c r="J31" s="268">
        <f t="shared" si="0"/>
        <v>0.44108</v>
      </c>
    </row>
    <row r="32" spans="1:10" s="44" customFormat="1" ht="15.75" customHeight="1">
      <c r="A32" s="90"/>
      <c r="B32" s="91"/>
      <c r="C32" s="91" t="s">
        <v>198</v>
      </c>
      <c r="D32" s="91" t="s">
        <v>199</v>
      </c>
      <c r="E32" s="91"/>
      <c r="F32" s="91"/>
      <c r="G32" s="92">
        <v>300000</v>
      </c>
      <c r="H32" s="92">
        <v>300000</v>
      </c>
      <c r="I32" s="92">
        <v>168800</v>
      </c>
      <c r="J32" s="268">
        <f t="shared" si="0"/>
        <v>0.5626666666666666</v>
      </c>
    </row>
    <row r="33" spans="1:10" s="44" customFormat="1" ht="15.75" customHeight="1">
      <c r="A33" s="90"/>
      <c r="B33" s="91"/>
      <c r="C33" s="91" t="s">
        <v>200</v>
      </c>
      <c r="D33" s="91" t="s">
        <v>201</v>
      </c>
      <c r="E33" s="91"/>
      <c r="F33" s="91"/>
      <c r="G33" s="92">
        <v>10000000</v>
      </c>
      <c r="H33" s="92">
        <v>7000000</v>
      </c>
      <c r="I33" s="92">
        <f>7411147+141710</f>
        <v>7552857</v>
      </c>
      <c r="J33" s="268">
        <f t="shared" si="0"/>
        <v>1.0789795714285715</v>
      </c>
    </row>
    <row r="34" spans="1:10" s="50" customFormat="1" ht="15.75" customHeight="1">
      <c r="A34" s="97"/>
      <c r="B34" s="88" t="s">
        <v>206</v>
      </c>
      <c r="C34" s="98"/>
      <c r="D34" s="88" t="s">
        <v>207</v>
      </c>
      <c r="E34" s="98"/>
      <c r="F34" s="93"/>
      <c r="G34" s="89">
        <f>G35+G36</f>
        <v>3530000</v>
      </c>
      <c r="H34" s="89">
        <f>H35+H36</f>
        <v>1530000</v>
      </c>
      <c r="I34" s="89">
        <f>I35+I36</f>
        <v>1211505</v>
      </c>
      <c r="J34" s="267">
        <f t="shared" si="0"/>
        <v>0.7918333333333333</v>
      </c>
    </row>
    <row r="35" spans="1:10" s="44" customFormat="1" ht="15.75" customHeight="1">
      <c r="A35" s="90"/>
      <c r="B35" s="91"/>
      <c r="C35" s="91" t="s">
        <v>208</v>
      </c>
      <c r="D35" s="91" t="s">
        <v>209</v>
      </c>
      <c r="E35" s="91"/>
      <c r="F35" s="91"/>
      <c r="G35" s="100">
        <v>3500000</v>
      </c>
      <c r="H35" s="100">
        <v>1500000</v>
      </c>
      <c r="I35" s="100">
        <v>1204468</v>
      </c>
      <c r="J35" s="268">
        <f t="shared" si="0"/>
        <v>0.8029786666666666</v>
      </c>
    </row>
    <row r="36" spans="1:10" s="44" customFormat="1" ht="15.75" customHeight="1">
      <c r="A36" s="90"/>
      <c r="B36" s="91"/>
      <c r="C36" s="91" t="s">
        <v>210</v>
      </c>
      <c r="D36" s="91" t="s">
        <v>211</v>
      </c>
      <c r="E36" s="91"/>
      <c r="F36" s="91"/>
      <c r="G36" s="100">
        <v>30000</v>
      </c>
      <c r="H36" s="100">
        <v>30000</v>
      </c>
      <c r="I36" s="100">
        <v>7037</v>
      </c>
      <c r="J36" s="268">
        <f t="shared" si="0"/>
        <v>0.23456666666666667</v>
      </c>
    </row>
    <row r="37" spans="1:10" s="51" customFormat="1" ht="15.75" customHeight="1">
      <c r="A37" s="87" t="s">
        <v>31</v>
      </c>
      <c r="B37" s="88"/>
      <c r="C37" s="88" t="s">
        <v>32</v>
      </c>
      <c r="D37" s="88"/>
      <c r="E37" s="88"/>
      <c r="F37" s="88"/>
      <c r="G37" s="89">
        <f>G38+G42</f>
        <v>91949141</v>
      </c>
      <c r="H37" s="89">
        <f>H38+H42</f>
        <v>104811141</v>
      </c>
      <c r="I37" s="89">
        <f>I38+I42</f>
        <v>4306200</v>
      </c>
      <c r="J37" s="267">
        <f t="shared" si="0"/>
        <v>0.04108532698828267</v>
      </c>
    </row>
    <row r="38" spans="1:10" s="44" customFormat="1" ht="15.75" customHeight="1">
      <c r="A38" s="90"/>
      <c r="B38" s="91"/>
      <c r="C38" s="91" t="s">
        <v>214</v>
      </c>
      <c r="D38" s="91" t="s">
        <v>215</v>
      </c>
      <c r="E38" s="91"/>
      <c r="F38" s="91"/>
      <c r="G38" s="89">
        <f>G39+G40</f>
        <v>2120400</v>
      </c>
      <c r="H38" s="89">
        <f>H39+H40+H41</f>
        <v>5156200</v>
      </c>
      <c r="I38" s="89">
        <f>I39+I40+I41</f>
        <v>4306200</v>
      </c>
      <c r="J38" s="267">
        <f t="shared" si="0"/>
        <v>0.835149916605252</v>
      </c>
    </row>
    <row r="39" spans="1:10" s="44" customFormat="1" ht="15.75" customHeight="1">
      <c r="A39" s="90"/>
      <c r="B39" s="91"/>
      <c r="C39" s="91"/>
      <c r="D39" s="91"/>
      <c r="E39" s="91" t="s">
        <v>323</v>
      </c>
      <c r="F39" s="91"/>
      <c r="G39" s="92">
        <v>1500000</v>
      </c>
      <c r="H39" s="92">
        <v>1500000</v>
      </c>
      <c r="I39" s="92">
        <v>650000</v>
      </c>
      <c r="J39" s="268">
        <f t="shared" si="0"/>
        <v>0.43333333333333335</v>
      </c>
    </row>
    <row r="40" spans="1:10" s="44" customFormat="1" ht="15.75" customHeight="1">
      <c r="A40" s="90"/>
      <c r="B40" s="91"/>
      <c r="C40" s="91"/>
      <c r="D40" s="91"/>
      <c r="E40" s="91" t="s">
        <v>365</v>
      </c>
      <c r="F40" s="91"/>
      <c r="G40" s="92">
        <v>620400</v>
      </c>
      <c r="H40" s="92">
        <v>620400</v>
      </c>
      <c r="I40" s="92">
        <v>620400</v>
      </c>
      <c r="J40" s="268">
        <f t="shared" si="0"/>
        <v>1</v>
      </c>
    </row>
    <row r="41" spans="1:10" s="44" customFormat="1" ht="15.75" customHeight="1">
      <c r="A41" s="90"/>
      <c r="B41" s="91"/>
      <c r="C41" s="91"/>
      <c r="D41" s="91"/>
      <c r="E41" s="91" t="s">
        <v>433</v>
      </c>
      <c r="F41" s="91"/>
      <c r="G41" s="92">
        <v>0</v>
      </c>
      <c r="H41" s="92">
        <v>3035800</v>
      </c>
      <c r="I41" s="92">
        <v>3035800</v>
      </c>
      <c r="J41" s="268">
        <f t="shared" si="0"/>
        <v>1</v>
      </c>
    </row>
    <row r="42" spans="1:10" s="44" customFormat="1" ht="15.75" customHeight="1">
      <c r="A42" s="90"/>
      <c r="B42" s="91"/>
      <c r="C42" s="91" t="s">
        <v>216</v>
      </c>
      <c r="D42" s="91" t="s">
        <v>217</v>
      </c>
      <c r="E42" s="91"/>
      <c r="F42" s="91"/>
      <c r="G42" s="92">
        <v>89828741</v>
      </c>
      <c r="H42" s="108">
        <v>99654941</v>
      </c>
      <c r="I42" s="108">
        <v>0</v>
      </c>
      <c r="J42" s="268">
        <f t="shared" si="0"/>
        <v>0</v>
      </c>
    </row>
    <row r="43" spans="1:10" s="44" customFormat="1" ht="15.75" customHeight="1">
      <c r="A43" s="101" t="s">
        <v>34</v>
      </c>
      <c r="B43" s="91"/>
      <c r="C43" s="88" t="s">
        <v>35</v>
      </c>
      <c r="D43" s="91"/>
      <c r="E43" s="91"/>
      <c r="F43" s="91"/>
      <c r="G43" s="89">
        <f>SUM(G45:G47)</f>
        <v>948000</v>
      </c>
      <c r="H43" s="89">
        <f>SUM(H44:H47)</f>
        <v>1088655</v>
      </c>
      <c r="I43" s="89">
        <f>SUM(I44:I47)</f>
        <v>1014995</v>
      </c>
      <c r="J43" s="268">
        <f t="shared" si="0"/>
        <v>0.932338527816434</v>
      </c>
    </row>
    <row r="44" spans="1:10" s="44" customFormat="1" ht="15.75" customHeight="1">
      <c r="A44" s="101"/>
      <c r="B44" s="91"/>
      <c r="C44" s="91" t="s">
        <v>434</v>
      </c>
      <c r="D44" s="91"/>
      <c r="E44" s="91" t="s">
        <v>435</v>
      </c>
      <c r="F44" s="91"/>
      <c r="G44" s="89"/>
      <c r="H44" s="92">
        <v>58000</v>
      </c>
      <c r="I44" s="92">
        <v>58000</v>
      </c>
      <c r="J44" s="268">
        <f t="shared" si="0"/>
        <v>1</v>
      </c>
    </row>
    <row r="45" spans="1:10" s="44" customFormat="1" ht="15.75" customHeight="1">
      <c r="A45" s="101"/>
      <c r="B45" s="91"/>
      <c r="C45" s="91" t="s">
        <v>340</v>
      </c>
      <c r="D45" s="91"/>
      <c r="E45" s="91" t="s">
        <v>339</v>
      </c>
      <c r="F45" s="91"/>
      <c r="G45" s="92">
        <v>236220</v>
      </c>
      <c r="H45" s="158">
        <f>225980+80000</f>
        <v>305980</v>
      </c>
      <c r="I45" s="158">
        <v>247980</v>
      </c>
      <c r="J45" s="268">
        <f t="shared" si="0"/>
        <v>0.8104451271324923</v>
      </c>
    </row>
    <row r="46" spans="1:10" s="44" customFormat="1" ht="15.75" customHeight="1">
      <c r="A46" s="90"/>
      <c r="B46" s="91"/>
      <c r="C46" s="91" t="s">
        <v>218</v>
      </c>
      <c r="D46" s="91"/>
      <c r="E46" s="91" t="s">
        <v>219</v>
      </c>
      <c r="F46" s="91"/>
      <c r="G46" s="92">
        <v>648000</v>
      </c>
      <c r="H46" s="158">
        <v>648000</v>
      </c>
      <c r="I46" s="158">
        <v>648000</v>
      </c>
      <c r="J46" s="268">
        <f t="shared" si="0"/>
        <v>1</v>
      </c>
    </row>
    <row r="47" spans="1:10" s="44" customFormat="1" ht="15.75" customHeight="1">
      <c r="A47" s="90"/>
      <c r="B47" s="91"/>
      <c r="C47" s="91" t="s">
        <v>237</v>
      </c>
      <c r="D47" s="91"/>
      <c r="E47" s="91" t="s">
        <v>238</v>
      </c>
      <c r="F47" s="91"/>
      <c r="G47" s="92">
        <v>63780</v>
      </c>
      <c r="H47" s="158">
        <f>61015+15660</f>
        <v>76675</v>
      </c>
      <c r="I47" s="158">
        <v>61015</v>
      </c>
      <c r="J47" s="268">
        <f t="shared" si="0"/>
        <v>0.7957613302901858</v>
      </c>
    </row>
    <row r="48" spans="1:10" s="51" customFormat="1" ht="15.75" customHeight="1">
      <c r="A48" s="87" t="s">
        <v>36</v>
      </c>
      <c r="B48" s="88"/>
      <c r="C48" s="88" t="s">
        <v>446</v>
      </c>
      <c r="D48" s="88"/>
      <c r="E48" s="88"/>
      <c r="F48" s="88"/>
      <c r="G48" s="89"/>
      <c r="H48" s="234">
        <f>SUM(H49:H50)</f>
        <v>718439</v>
      </c>
      <c r="I48" s="234">
        <f>SUM(I49:I50)</f>
        <v>718439</v>
      </c>
      <c r="J48" s="268">
        <f t="shared" si="0"/>
        <v>1</v>
      </c>
    </row>
    <row r="49" spans="1:10" s="44" customFormat="1" ht="15.75" customHeight="1">
      <c r="A49" s="90"/>
      <c r="B49" s="91"/>
      <c r="C49" s="91" t="s">
        <v>247</v>
      </c>
      <c r="D49" s="91"/>
      <c r="E49" s="91" t="s">
        <v>447</v>
      </c>
      <c r="F49" s="91"/>
      <c r="G49" s="92"/>
      <c r="H49" s="158">
        <v>565700</v>
      </c>
      <c r="I49" s="158">
        <v>565700</v>
      </c>
      <c r="J49" s="268">
        <f t="shared" si="0"/>
        <v>1</v>
      </c>
    </row>
    <row r="50" spans="1:10" s="44" customFormat="1" ht="15.75" customHeight="1">
      <c r="A50" s="90"/>
      <c r="B50" s="91"/>
      <c r="C50" s="91" t="s">
        <v>249</v>
      </c>
      <c r="D50" s="91"/>
      <c r="E50" s="91" t="s">
        <v>458</v>
      </c>
      <c r="F50" s="91"/>
      <c r="G50" s="92"/>
      <c r="H50" s="158">
        <v>152739</v>
      </c>
      <c r="I50" s="158">
        <v>152739</v>
      </c>
      <c r="J50" s="268">
        <f t="shared" si="0"/>
        <v>1</v>
      </c>
    </row>
    <row r="51" spans="1:10" s="44" customFormat="1" ht="15.75" customHeight="1">
      <c r="A51" s="87" t="s">
        <v>38</v>
      </c>
      <c r="B51" s="88"/>
      <c r="C51" s="88" t="s">
        <v>39</v>
      </c>
      <c r="D51" s="88"/>
      <c r="E51" s="88"/>
      <c r="F51" s="88"/>
      <c r="G51" s="89">
        <f aca="true" t="shared" si="1" ref="G51:I52">SUM(G52)</f>
        <v>930600</v>
      </c>
      <c r="H51" s="89">
        <f t="shared" si="1"/>
        <v>930600</v>
      </c>
      <c r="I51" s="89">
        <f t="shared" si="1"/>
        <v>930600</v>
      </c>
      <c r="J51" s="268">
        <f t="shared" si="0"/>
        <v>1</v>
      </c>
    </row>
    <row r="52" spans="1:10" s="44" customFormat="1" ht="15.75" customHeight="1">
      <c r="A52" s="90"/>
      <c r="B52" s="91"/>
      <c r="C52" s="91" t="s">
        <v>366</v>
      </c>
      <c r="D52" s="91" t="s">
        <v>367</v>
      </c>
      <c r="E52" s="91"/>
      <c r="F52" s="91"/>
      <c r="G52" s="92">
        <f t="shared" si="1"/>
        <v>930600</v>
      </c>
      <c r="H52" s="92">
        <f t="shared" si="1"/>
        <v>930600</v>
      </c>
      <c r="I52" s="92">
        <f t="shared" si="1"/>
        <v>930600</v>
      </c>
      <c r="J52" s="268">
        <f t="shared" si="0"/>
        <v>1</v>
      </c>
    </row>
    <row r="53" spans="1:10" s="44" customFormat="1" ht="15.75" customHeight="1">
      <c r="A53" s="90"/>
      <c r="B53" s="91"/>
      <c r="C53" s="91"/>
      <c r="D53" s="91"/>
      <c r="E53" s="91" t="s">
        <v>368</v>
      </c>
      <c r="F53" s="91"/>
      <c r="G53" s="92">
        <v>930600</v>
      </c>
      <c r="H53" s="92">
        <v>930600</v>
      </c>
      <c r="I53" s="92">
        <v>930600</v>
      </c>
      <c r="J53" s="268">
        <f t="shared" si="0"/>
        <v>1</v>
      </c>
    </row>
    <row r="54" spans="1:10" s="44" customFormat="1" ht="15.75" customHeight="1">
      <c r="A54" s="90"/>
      <c r="B54" s="91"/>
      <c r="C54" s="91"/>
      <c r="D54" s="91"/>
      <c r="E54" s="91"/>
      <c r="F54" s="91"/>
      <c r="G54" s="92"/>
      <c r="H54" s="92"/>
      <c r="I54" s="92"/>
      <c r="J54" s="92"/>
    </row>
    <row r="55" spans="1:10" s="44" customFormat="1" ht="15.75" customHeight="1">
      <c r="A55" s="84" t="s">
        <v>407</v>
      </c>
      <c r="B55" s="85"/>
      <c r="C55" s="85"/>
      <c r="D55" s="85"/>
      <c r="E55" s="85"/>
      <c r="F55" s="102"/>
      <c r="G55" s="86">
        <f>G56</f>
        <v>0</v>
      </c>
      <c r="H55" s="86">
        <f>H56</f>
        <v>494000</v>
      </c>
      <c r="I55" s="86">
        <f>I56</f>
        <v>494000</v>
      </c>
      <c r="J55" s="266">
        <f>I55/H55</f>
        <v>1</v>
      </c>
    </row>
    <row r="56" spans="1:10" s="44" customFormat="1" ht="15.75" customHeight="1">
      <c r="A56" s="90" t="s">
        <v>31</v>
      </c>
      <c r="B56" s="91"/>
      <c r="C56" s="88" t="s">
        <v>32</v>
      </c>
      <c r="D56" s="91"/>
      <c r="E56" s="91"/>
      <c r="F56" s="91"/>
      <c r="G56" s="92"/>
      <c r="H56" s="92">
        <f>SUM(H57)</f>
        <v>494000</v>
      </c>
      <c r="I56" s="92">
        <f>SUM(I57)</f>
        <v>494000</v>
      </c>
      <c r="J56" s="268">
        <f>I56/H56</f>
        <v>1</v>
      </c>
    </row>
    <row r="57" spans="1:10" s="44" customFormat="1" ht="15.75" customHeight="1">
      <c r="A57" s="90"/>
      <c r="B57" s="91"/>
      <c r="C57" s="91" t="s">
        <v>408</v>
      </c>
      <c r="D57" s="396" t="s">
        <v>409</v>
      </c>
      <c r="E57" s="396"/>
      <c r="F57" s="91"/>
      <c r="G57" s="92"/>
      <c r="H57" s="92">
        <v>494000</v>
      </c>
      <c r="I57" s="92">
        <v>494000</v>
      </c>
      <c r="J57" s="268">
        <f>I57/H57</f>
        <v>1</v>
      </c>
    </row>
    <row r="58" spans="1:10" s="44" customFormat="1" ht="15.75" customHeight="1">
      <c r="A58" s="87"/>
      <c r="B58" s="91"/>
      <c r="C58" s="88"/>
      <c r="D58" s="88"/>
      <c r="E58" s="91"/>
      <c r="F58" s="88"/>
      <c r="G58" s="92"/>
      <c r="H58" s="158"/>
      <c r="I58" s="158"/>
      <c r="J58" s="158"/>
    </row>
    <row r="59" spans="1:10" s="44" customFormat="1" ht="15.75" customHeight="1">
      <c r="A59" s="84" t="s">
        <v>220</v>
      </c>
      <c r="B59" s="85"/>
      <c r="C59" s="85"/>
      <c r="D59" s="85"/>
      <c r="E59" s="85"/>
      <c r="F59" s="102"/>
      <c r="G59" s="86">
        <f>G60</f>
        <v>6770288</v>
      </c>
      <c r="H59" s="86">
        <f>H60</f>
        <v>7322450</v>
      </c>
      <c r="I59" s="86">
        <f>I60</f>
        <v>7322450</v>
      </c>
      <c r="J59" s="266">
        <f>I59/H59</f>
        <v>1</v>
      </c>
    </row>
    <row r="60" spans="1:10" s="44" customFormat="1" ht="15.75" customHeight="1">
      <c r="A60" s="87" t="s">
        <v>41</v>
      </c>
      <c r="B60" s="91"/>
      <c r="C60" s="88" t="s">
        <v>40</v>
      </c>
      <c r="D60" s="88"/>
      <c r="E60" s="88"/>
      <c r="F60" s="88"/>
      <c r="G60" s="89">
        <f>G61+G62</f>
        <v>6770288</v>
      </c>
      <c r="H60" s="89">
        <f>H61+H62</f>
        <v>7322450</v>
      </c>
      <c r="I60" s="89">
        <f>I61+I62</f>
        <v>7322450</v>
      </c>
      <c r="J60" s="268">
        <f>I60/H60</f>
        <v>1</v>
      </c>
    </row>
    <row r="61" spans="1:10" s="44" customFormat="1" ht="15.75" customHeight="1">
      <c r="A61" s="87"/>
      <c r="B61" s="91"/>
      <c r="C61" s="88" t="s">
        <v>221</v>
      </c>
      <c r="D61" s="88"/>
      <c r="E61" s="91" t="s">
        <v>222</v>
      </c>
      <c r="F61" s="88"/>
      <c r="G61" s="92">
        <v>3770288</v>
      </c>
      <c r="H61" s="92">
        <v>3770288</v>
      </c>
      <c r="I61" s="92">
        <v>3770288</v>
      </c>
      <c r="J61" s="268">
        <f>I61/H61</f>
        <v>1</v>
      </c>
    </row>
    <row r="62" spans="1:10" s="44" customFormat="1" ht="15.75" customHeight="1">
      <c r="A62" s="87"/>
      <c r="B62" s="91"/>
      <c r="C62" s="88"/>
      <c r="D62" s="88"/>
      <c r="E62" s="91" t="s">
        <v>223</v>
      </c>
      <c r="F62" s="88"/>
      <c r="G62" s="92">
        <v>3000000</v>
      </c>
      <c r="H62" s="92">
        <v>3552162</v>
      </c>
      <c r="I62" s="92">
        <v>3552162</v>
      </c>
      <c r="J62" s="268">
        <f>I62/H62</f>
        <v>1</v>
      </c>
    </row>
    <row r="63" spans="1:10" s="44" customFormat="1" ht="15.75" customHeight="1">
      <c r="A63" s="87"/>
      <c r="B63" s="91"/>
      <c r="C63" s="88"/>
      <c r="D63" s="88"/>
      <c r="E63" s="91"/>
      <c r="F63" s="88"/>
      <c r="G63" s="92"/>
      <c r="H63" s="158"/>
      <c r="I63" s="158"/>
      <c r="J63" s="158"/>
    </row>
    <row r="64" spans="1:10" s="44" customFormat="1" ht="15.75" customHeight="1">
      <c r="A64" s="84" t="s">
        <v>224</v>
      </c>
      <c r="B64" s="85"/>
      <c r="C64" s="85"/>
      <c r="D64" s="85"/>
      <c r="E64" s="85"/>
      <c r="F64" s="102"/>
      <c r="G64" s="86">
        <f>G65</f>
        <v>76116031</v>
      </c>
      <c r="H64" s="86">
        <f>H65+H78</f>
        <v>74716721</v>
      </c>
      <c r="I64" s="86">
        <f>I65+I78</f>
        <v>74636261</v>
      </c>
      <c r="J64" s="266">
        <f>I64/H64</f>
        <v>0.9989231326144519</v>
      </c>
    </row>
    <row r="65" spans="1:10" s="44" customFormat="1" ht="15.75" customHeight="1">
      <c r="A65" s="87" t="s">
        <v>31</v>
      </c>
      <c r="B65" s="88"/>
      <c r="C65" s="88" t="s">
        <v>32</v>
      </c>
      <c r="D65" s="88"/>
      <c r="E65" s="88"/>
      <c r="F65" s="91"/>
      <c r="G65" s="89">
        <f>G70+G66</f>
        <v>76116031</v>
      </c>
      <c r="H65" s="89">
        <f>H70+H66</f>
        <v>74416721</v>
      </c>
      <c r="I65" s="89">
        <f>I70+I66</f>
        <v>74416721</v>
      </c>
      <c r="J65" s="267">
        <f aca="true" t="shared" si="2" ref="J65:J78">I65/H65</f>
        <v>1</v>
      </c>
    </row>
    <row r="66" spans="1:10" s="44" customFormat="1" ht="15.75" customHeight="1">
      <c r="A66" s="87"/>
      <c r="B66" s="88"/>
      <c r="C66" s="91" t="s">
        <v>212</v>
      </c>
      <c r="D66" s="91" t="s">
        <v>352</v>
      </c>
      <c r="E66" s="88"/>
      <c r="F66" s="91"/>
      <c r="G66" s="89">
        <f>G67+G69</f>
        <v>27348018</v>
      </c>
      <c r="H66" s="89">
        <f>H67+H69</f>
        <v>24180645</v>
      </c>
      <c r="I66" s="89">
        <f>I67+I69+I68</f>
        <v>24225280</v>
      </c>
      <c r="J66" s="267">
        <f t="shared" si="2"/>
        <v>1.001845897824479</v>
      </c>
    </row>
    <row r="67" spans="1:10" s="44" customFormat="1" ht="15.75" customHeight="1">
      <c r="A67" s="87"/>
      <c r="B67" s="88"/>
      <c r="C67" s="88"/>
      <c r="D67" s="395" t="s">
        <v>353</v>
      </c>
      <c r="E67" s="395"/>
      <c r="F67" s="91"/>
      <c r="G67" s="92">
        <v>26451018</v>
      </c>
      <c r="H67" s="92">
        <v>23472645</v>
      </c>
      <c r="I67" s="92">
        <v>23472645</v>
      </c>
      <c r="J67" s="268">
        <f t="shared" si="2"/>
        <v>1</v>
      </c>
    </row>
    <row r="68" spans="1:10" s="44" customFormat="1" ht="15.75" customHeight="1">
      <c r="A68" s="87"/>
      <c r="B68" s="88"/>
      <c r="C68" s="88"/>
      <c r="D68" s="395" t="s">
        <v>468</v>
      </c>
      <c r="E68" s="395"/>
      <c r="F68" s="91"/>
      <c r="G68" s="92"/>
      <c r="H68" s="92"/>
      <c r="I68" s="92">
        <v>422635</v>
      </c>
      <c r="J68" s="268"/>
    </row>
    <row r="69" spans="1:10" s="44" customFormat="1" ht="31.5" customHeight="1">
      <c r="A69" s="87"/>
      <c r="B69" s="88"/>
      <c r="C69" s="88"/>
      <c r="D69" s="395" t="s">
        <v>355</v>
      </c>
      <c r="E69" s="395"/>
      <c r="F69" s="91"/>
      <c r="G69" s="92">
        <v>897000</v>
      </c>
      <c r="H69" s="92">
        <v>708000</v>
      </c>
      <c r="I69" s="92">
        <v>330000</v>
      </c>
      <c r="J69" s="268">
        <f t="shared" si="2"/>
        <v>0.4661016949152542</v>
      </c>
    </row>
    <row r="70" spans="1:10" s="44" customFormat="1" ht="15.75">
      <c r="A70" s="90"/>
      <c r="B70" s="91"/>
      <c r="C70" s="91" t="s">
        <v>212</v>
      </c>
      <c r="D70" s="395" t="s">
        <v>406</v>
      </c>
      <c r="E70" s="395"/>
      <c r="F70" s="91">
        <f>F72+F73+F74</f>
        <v>45268013</v>
      </c>
      <c r="G70" s="89">
        <f>G71+G75+G76</f>
        <v>48768013</v>
      </c>
      <c r="H70" s="89">
        <f>H71+H75+H76+H77</f>
        <v>50236076</v>
      </c>
      <c r="I70" s="89">
        <f>I71+I75+I76+I77</f>
        <v>50191441</v>
      </c>
      <c r="J70" s="267">
        <f t="shared" si="2"/>
        <v>0.9991114950936852</v>
      </c>
    </row>
    <row r="71" spans="1:10" s="44" customFormat="1" ht="15.75">
      <c r="A71" s="90"/>
      <c r="B71" s="91"/>
      <c r="C71" s="91"/>
      <c r="D71" s="395" t="s">
        <v>356</v>
      </c>
      <c r="E71" s="395"/>
      <c r="F71" s="91"/>
      <c r="G71" s="89">
        <f>F72+F73+F74</f>
        <v>45268013</v>
      </c>
      <c r="H71" s="89">
        <v>46166217</v>
      </c>
      <c r="I71" s="89">
        <v>45371751</v>
      </c>
      <c r="J71" s="267">
        <f t="shared" si="2"/>
        <v>0.9827911825653811</v>
      </c>
    </row>
    <row r="72" spans="1:10" s="44" customFormat="1" ht="15.75" customHeight="1">
      <c r="A72" s="90"/>
      <c r="B72" s="91"/>
      <c r="C72" s="91"/>
      <c r="D72" s="91" t="s">
        <v>225</v>
      </c>
      <c r="E72" s="91"/>
      <c r="F72" s="91">
        <v>37733122</v>
      </c>
      <c r="G72" s="89"/>
      <c r="H72" s="158"/>
      <c r="I72" s="158"/>
      <c r="J72" s="268"/>
    </row>
    <row r="73" spans="1:10" s="44" customFormat="1" ht="15.75" customHeight="1">
      <c r="A73" s="90"/>
      <c r="B73" s="91"/>
      <c r="C73" s="91"/>
      <c r="D73" s="91" t="s">
        <v>226</v>
      </c>
      <c r="E73" s="91"/>
      <c r="F73" s="91">
        <v>1359988</v>
      </c>
      <c r="G73" s="89"/>
      <c r="H73" s="158"/>
      <c r="I73" s="158"/>
      <c r="J73" s="268"/>
    </row>
    <row r="74" spans="1:10" s="44" customFormat="1" ht="15.75" customHeight="1">
      <c r="A74" s="90"/>
      <c r="B74" s="91"/>
      <c r="C74" s="91"/>
      <c r="D74" s="91" t="s">
        <v>227</v>
      </c>
      <c r="E74" s="91"/>
      <c r="F74" s="91">
        <v>6174903</v>
      </c>
      <c r="G74" s="89"/>
      <c r="H74" s="158"/>
      <c r="I74" s="158"/>
      <c r="J74" s="268"/>
    </row>
    <row r="75" spans="1:10" s="44" customFormat="1" ht="15.75" customHeight="1">
      <c r="A75" s="90"/>
      <c r="B75" s="91"/>
      <c r="C75" s="91"/>
      <c r="D75" s="91" t="s">
        <v>228</v>
      </c>
      <c r="E75" s="91"/>
      <c r="F75" s="91"/>
      <c r="G75" s="92">
        <v>500000</v>
      </c>
      <c r="H75" s="92">
        <v>500000</v>
      </c>
      <c r="I75" s="92">
        <v>318000</v>
      </c>
      <c r="J75" s="268">
        <f t="shared" si="2"/>
        <v>0.636</v>
      </c>
    </row>
    <row r="76" spans="1:10" s="44" customFormat="1" ht="15.75" customHeight="1">
      <c r="A76" s="90"/>
      <c r="B76" s="91"/>
      <c r="C76" s="91"/>
      <c r="D76" s="91" t="s">
        <v>354</v>
      </c>
      <c r="E76" s="91"/>
      <c r="F76" s="91"/>
      <c r="G76" s="92">
        <v>3000000</v>
      </c>
      <c r="H76" s="92">
        <v>3269859</v>
      </c>
      <c r="I76" s="92">
        <f>4437236+64454</f>
        <v>4501690</v>
      </c>
      <c r="J76" s="268">
        <f t="shared" si="2"/>
        <v>1.3767229718467984</v>
      </c>
    </row>
    <row r="77" spans="1:10" s="44" customFormat="1" ht="15.75" customHeight="1">
      <c r="A77" s="90"/>
      <c r="B77" s="91"/>
      <c r="C77" s="91"/>
      <c r="D77" s="91" t="s">
        <v>405</v>
      </c>
      <c r="E77" s="91"/>
      <c r="F77" s="91"/>
      <c r="G77" s="92"/>
      <c r="H77" s="92">
        <v>300000</v>
      </c>
      <c r="I77" s="92">
        <v>0</v>
      </c>
      <c r="J77" s="268">
        <f t="shared" si="2"/>
        <v>0</v>
      </c>
    </row>
    <row r="78" spans="1:10" s="44" customFormat="1" ht="15.75" customHeight="1">
      <c r="A78" s="87" t="s">
        <v>38</v>
      </c>
      <c r="B78" s="88"/>
      <c r="C78" s="88" t="s">
        <v>39</v>
      </c>
      <c r="D78" s="91"/>
      <c r="E78" s="91"/>
      <c r="F78" s="91"/>
      <c r="G78" s="92"/>
      <c r="H78" s="89">
        <f>SUM(H79)</f>
        <v>300000</v>
      </c>
      <c r="I78" s="89">
        <f>SUM(I79)</f>
        <v>219540</v>
      </c>
      <c r="J78" s="267">
        <f t="shared" si="2"/>
        <v>0.7318</v>
      </c>
    </row>
    <row r="79" spans="1:10" s="44" customFormat="1" ht="15.75" customHeight="1">
      <c r="A79" s="90"/>
      <c r="B79" s="91" t="s">
        <v>403</v>
      </c>
      <c r="C79" s="91"/>
      <c r="D79" s="91" t="s">
        <v>404</v>
      </c>
      <c r="E79" s="91"/>
      <c r="F79" s="91"/>
      <c r="G79" s="92"/>
      <c r="H79" s="92">
        <v>300000</v>
      </c>
      <c r="I79" s="92">
        <v>219540</v>
      </c>
      <c r="J79" s="268">
        <f>I79/H79</f>
        <v>0.7318</v>
      </c>
    </row>
    <row r="80" spans="1:10" s="44" customFormat="1" ht="15.75" customHeight="1">
      <c r="A80" s="87"/>
      <c r="B80" s="91"/>
      <c r="C80" s="88"/>
      <c r="D80" s="88"/>
      <c r="E80" s="91"/>
      <c r="F80" s="88"/>
      <c r="G80" s="92"/>
      <c r="H80" s="158"/>
      <c r="I80" s="158"/>
      <c r="J80" s="158"/>
    </row>
    <row r="81" spans="1:10" s="44" customFormat="1" ht="15.75" customHeight="1">
      <c r="A81" s="84" t="s">
        <v>229</v>
      </c>
      <c r="B81" s="102"/>
      <c r="C81" s="102"/>
      <c r="D81" s="102"/>
      <c r="E81" s="102"/>
      <c r="F81" s="103">
        <v>0.5</v>
      </c>
      <c r="G81" s="86">
        <f>G82+G87+G90</f>
        <v>2876923.1840000004</v>
      </c>
      <c r="H81" s="86">
        <f>H82+H87+H90</f>
        <v>2806922.88</v>
      </c>
      <c r="I81" s="86">
        <f>I82+I87+I90</f>
        <v>2477049</v>
      </c>
      <c r="J81" s="266">
        <f>I81/H81</f>
        <v>0.8824784669538196</v>
      </c>
    </row>
    <row r="82" spans="1:10" s="44" customFormat="1" ht="15.75" customHeight="1">
      <c r="A82" s="87" t="s">
        <v>23</v>
      </c>
      <c r="B82" s="88"/>
      <c r="C82" s="88" t="s">
        <v>158</v>
      </c>
      <c r="D82" s="88"/>
      <c r="E82" s="88"/>
      <c r="F82" s="83"/>
      <c r="G82" s="89">
        <f>G83</f>
        <v>1264338.8800000001</v>
      </c>
      <c r="H82" s="89">
        <f>H83</f>
        <v>1264338.8800000001</v>
      </c>
      <c r="I82" s="89">
        <f>I83</f>
        <v>1155472</v>
      </c>
      <c r="J82" s="267">
        <f aca="true" t="shared" si="3" ref="J82:J97">I82/H82</f>
        <v>0.913894224307964</v>
      </c>
    </row>
    <row r="83" spans="1:10" s="44" customFormat="1" ht="15.75" customHeight="1">
      <c r="A83" s="90"/>
      <c r="B83" s="88" t="s">
        <v>159</v>
      </c>
      <c r="C83" s="91"/>
      <c r="D83" s="91" t="s">
        <v>160</v>
      </c>
      <c r="E83" s="91"/>
      <c r="F83" s="91"/>
      <c r="G83" s="92">
        <f>SUM(G84:G86)</f>
        <v>1264338.8800000001</v>
      </c>
      <c r="H83" s="92">
        <f>SUM(H84:H86)</f>
        <v>1264338.8800000001</v>
      </c>
      <c r="I83" s="92">
        <f>SUM(I84:I86)</f>
        <v>1155472</v>
      </c>
      <c r="J83" s="268">
        <f t="shared" si="3"/>
        <v>0.913894224307964</v>
      </c>
    </row>
    <row r="84" spans="1:10" s="44" customFormat="1" ht="15.75" customHeight="1">
      <c r="A84" s="81"/>
      <c r="B84" s="91"/>
      <c r="C84" s="91" t="s">
        <v>161</v>
      </c>
      <c r="D84" s="91" t="s">
        <v>162</v>
      </c>
      <c r="E84" s="91"/>
      <c r="F84" s="91"/>
      <c r="G84" s="92">
        <f>1119744*1.02</f>
        <v>1142138.8800000001</v>
      </c>
      <c r="H84" s="92">
        <f>1119744*1.02</f>
        <v>1142138.8800000001</v>
      </c>
      <c r="I84" s="92">
        <v>1036800</v>
      </c>
      <c r="J84" s="268">
        <f t="shared" si="3"/>
        <v>0.9077705156136527</v>
      </c>
    </row>
    <row r="85" spans="1:10" s="44" customFormat="1" ht="15.75" customHeight="1">
      <c r="A85" s="81"/>
      <c r="B85" s="91"/>
      <c r="C85" s="91" t="s">
        <v>332</v>
      </c>
      <c r="D85" s="91" t="s">
        <v>343</v>
      </c>
      <c r="E85" s="91"/>
      <c r="F85" s="91"/>
      <c r="G85" s="92">
        <v>46700</v>
      </c>
      <c r="H85" s="92">
        <v>46700</v>
      </c>
      <c r="I85" s="92">
        <v>43200</v>
      </c>
      <c r="J85" s="268">
        <f t="shared" si="3"/>
        <v>0.9250535331905781</v>
      </c>
    </row>
    <row r="86" spans="1:10" s="51" customFormat="1" ht="15.75" customHeight="1">
      <c r="A86" s="90"/>
      <c r="B86" s="91"/>
      <c r="C86" s="91" t="s">
        <v>163</v>
      </c>
      <c r="D86" s="91" t="s">
        <v>164</v>
      </c>
      <c r="E86" s="91"/>
      <c r="F86" s="91"/>
      <c r="G86" s="92">
        <v>75500</v>
      </c>
      <c r="H86" s="92">
        <v>75500</v>
      </c>
      <c r="I86" s="92">
        <v>75472</v>
      </c>
      <c r="J86" s="268">
        <f t="shared" si="3"/>
        <v>0.9996291390728477</v>
      </c>
    </row>
    <row r="87" spans="1:10" s="44" customFormat="1" ht="15.75" customHeight="1">
      <c r="A87" s="87" t="s">
        <v>25</v>
      </c>
      <c r="B87" s="88"/>
      <c r="C87" s="88" t="s">
        <v>175</v>
      </c>
      <c r="D87" s="95"/>
      <c r="E87" s="95"/>
      <c r="F87" s="96"/>
      <c r="G87" s="89">
        <f>SUM(G88:G89)</f>
        <v>232584.304</v>
      </c>
      <c r="H87" s="89">
        <f>SUM(H88:H89)</f>
        <v>232584</v>
      </c>
      <c r="I87" s="89">
        <f>SUM(I88:I89)</f>
        <v>188906</v>
      </c>
      <c r="J87" s="267">
        <f t="shared" si="3"/>
        <v>0.8122054827503181</v>
      </c>
    </row>
    <row r="88" spans="1:10" s="44" customFormat="1" ht="15.75" customHeight="1">
      <c r="A88" s="90"/>
      <c r="B88" s="91"/>
      <c r="C88" s="91"/>
      <c r="D88" s="93" t="s">
        <v>176</v>
      </c>
      <c r="E88" s="91"/>
      <c r="F88" s="91"/>
      <c r="G88" s="92">
        <f>G83*0.175</f>
        <v>221259.304</v>
      </c>
      <c r="H88" s="92">
        <v>221259</v>
      </c>
      <c r="I88" s="92">
        <v>177585</v>
      </c>
      <c r="J88" s="268">
        <f t="shared" si="3"/>
        <v>0.8026114191965072</v>
      </c>
    </row>
    <row r="89" spans="1:10" s="44" customFormat="1" ht="15.75" customHeight="1">
      <c r="A89" s="90"/>
      <c r="B89" s="91"/>
      <c r="C89" s="91"/>
      <c r="D89" s="93" t="s">
        <v>177</v>
      </c>
      <c r="E89" s="91"/>
      <c r="F89" s="91"/>
      <c r="G89" s="92">
        <f>G86*0.15</f>
        <v>11325</v>
      </c>
      <c r="H89" s="92">
        <v>11325</v>
      </c>
      <c r="I89" s="92">
        <v>11321</v>
      </c>
      <c r="J89" s="268">
        <f t="shared" si="3"/>
        <v>0.9996467991169978</v>
      </c>
    </row>
    <row r="90" spans="1:10" s="44" customFormat="1" ht="15.75" customHeight="1">
      <c r="A90" s="87" t="s">
        <v>27</v>
      </c>
      <c r="B90" s="88"/>
      <c r="C90" s="88" t="s">
        <v>28</v>
      </c>
      <c r="D90" s="88"/>
      <c r="E90" s="88"/>
      <c r="F90" s="91"/>
      <c r="G90" s="89">
        <f>G91+G93+G97</f>
        <v>1380000</v>
      </c>
      <c r="H90" s="89">
        <f>H91+H93+H97</f>
        <v>1310000</v>
      </c>
      <c r="I90" s="89">
        <f>I91+I93+I97</f>
        <v>1132671</v>
      </c>
      <c r="J90" s="267">
        <f t="shared" si="3"/>
        <v>0.8646343511450382</v>
      </c>
    </row>
    <row r="91" spans="1:10" s="44" customFormat="1" ht="15.75" customHeight="1">
      <c r="A91" s="97"/>
      <c r="B91" s="88" t="s">
        <v>178</v>
      </c>
      <c r="C91" s="98"/>
      <c r="D91" s="88" t="s">
        <v>179</v>
      </c>
      <c r="E91" s="99"/>
      <c r="F91" s="97"/>
      <c r="G91" s="89">
        <f>+G92</f>
        <v>300000</v>
      </c>
      <c r="H91" s="89">
        <f>+H92</f>
        <v>110000</v>
      </c>
      <c r="I91" s="89">
        <f>+I92</f>
        <v>104894</v>
      </c>
      <c r="J91" s="267">
        <f t="shared" si="3"/>
        <v>0.9535818181818182</v>
      </c>
    </row>
    <row r="92" spans="1:10" s="44" customFormat="1" ht="15.75" customHeight="1">
      <c r="A92" s="90"/>
      <c r="B92" s="91"/>
      <c r="C92" s="91" t="s">
        <v>183</v>
      </c>
      <c r="D92" s="91" t="s">
        <v>184</v>
      </c>
      <c r="E92" s="91"/>
      <c r="F92" s="91"/>
      <c r="G92" s="92">
        <v>300000</v>
      </c>
      <c r="H92" s="92">
        <v>110000</v>
      </c>
      <c r="I92" s="92">
        <v>104894</v>
      </c>
      <c r="J92" s="268">
        <f t="shared" si="3"/>
        <v>0.9535818181818182</v>
      </c>
    </row>
    <row r="93" spans="1:10" s="44" customFormat="1" ht="15.75" customHeight="1">
      <c r="A93" s="97"/>
      <c r="B93" s="88" t="s">
        <v>192</v>
      </c>
      <c r="C93" s="98"/>
      <c r="D93" s="88" t="s">
        <v>193</v>
      </c>
      <c r="E93" s="98"/>
      <c r="F93" s="93"/>
      <c r="G93" s="89">
        <f>G94+G95+G96</f>
        <v>780000</v>
      </c>
      <c r="H93" s="89">
        <f>H94+H95+H96</f>
        <v>900000</v>
      </c>
      <c r="I93" s="89">
        <f>I94+I95+I96</f>
        <v>806504</v>
      </c>
      <c r="J93" s="267">
        <f t="shared" si="3"/>
        <v>0.8961155555555556</v>
      </c>
    </row>
    <row r="94" spans="1:10" s="44" customFormat="1" ht="15.75" customHeight="1">
      <c r="A94" s="90"/>
      <c r="B94" s="91"/>
      <c r="C94" s="91" t="s">
        <v>194</v>
      </c>
      <c r="D94" s="91" t="s">
        <v>195</v>
      </c>
      <c r="E94" s="91"/>
      <c r="F94" s="91"/>
      <c r="G94" s="92">
        <v>130000</v>
      </c>
      <c r="H94" s="92">
        <v>130000</v>
      </c>
      <c r="I94" s="92">
        <v>96044</v>
      </c>
      <c r="J94" s="268">
        <f t="shared" si="3"/>
        <v>0.7388</v>
      </c>
    </row>
    <row r="95" spans="1:10" s="44" customFormat="1" ht="15.75" customHeight="1">
      <c r="A95" s="90"/>
      <c r="B95" s="91"/>
      <c r="C95" s="91" t="s">
        <v>198</v>
      </c>
      <c r="D95" s="91" t="s">
        <v>199</v>
      </c>
      <c r="E95" s="91"/>
      <c r="F95" s="91"/>
      <c r="G95" s="92">
        <v>50000</v>
      </c>
      <c r="H95" s="92">
        <v>270000</v>
      </c>
      <c r="I95" s="92">
        <v>267100</v>
      </c>
      <c r="J95" s="268">
        <f t="shared" si="3"/>
        <v>0.9892592592592593</v>
      </c>
    </row>
    <row r="96" spans="1:10" s="44" customFormat="1" ht="15.75" customHeight="1">
      <c r="A96" s="90"/>
      <c r="B96" s="91"/>
      <c r="C96" s="91" t="s">
        <v>200</v>
      </c>
      <c r="D96" s="91" t="s">
        <v>201</v>
      </c>
      <c r="E96" s="91"/>
      <c r="F96" s="91"/>
      <c r="G96" s="92">
        <v>600000</v>
      </c>
      <c r="H96" s="92">
        <v>500000</v>
      </c>
      <c r="I96" s="92">
        <v>443360</v>
      </c>
      <c r="J96" s="268">
        <f t="shared" si="3"/>
        <v>0.88672</v>
      </c>
    </row>
    <row r="97" spans="1:10" s="44" customFormat="1" ht="15.75" customHeight="1">
      <c r="A97" s="97"/>
      <c r="B97" s="88" t="s">
        <v>206</v>
      </c>
      <c r="C97" s="98"/>
      <c r="D97" s="88" t="s">
        <v>207</v>
      </c>
      <c r="E97" s="98"/>
      <c r="F97" s="93"/>
      <c r="G97" s="89">
        <f>G98</f>
        <v>300000</v>
      </c>
      <c r="H97" s="89">
        <f>H98</f>
        <v>300000</v>
      </c>
      <c r="I97" s="89">
        <f>I98</f>
        <v>221273</v>
      </c>
      <c r="J97" s="267">
        <f t="shared" si="3"/>
        <v>0.7375766666666667</v>
      </c>
    </row>
    <row r="98" spans="1:10" s="44" customFormat="1" ht="15.75" customHeight="1">
      <c r="A98" s="90"/>
      <c r="B98" s="91"/>
      <c r="C98" s="91" t="s">
        <v>208</v>
      </c>
      <c r="D98" s="91" t="s">
        <v>209</v>
      </c>
      <c r="E98" s="91"/>
      <c r="F98" s="91"/>
      <c r="G98" s="100">
        <v>300000</v>
      </c>
      <c r="H98" s="100">
        <v>300000</v>
      </c>
      <c r="I98" s="100">
        <v>221273</v>
      </c>
      <c r="J98" s="268">
        <f>I98/H98</f>
        <v>0.7375766666666667</v>
      </c>
    </row>
    <row r="99" spans="1:10" s="44" customFormat="1" ht="15.75" customHeight="1">
      <c r="A99" s="90"/>
      <c r="B99" s="91"/>
      <c r="C99" s="91"/>
      <c r="D99" s="91"/>
      <c r="E99" s="91"/>
      <c r="F99" s="97"/>
      <c r="G99" s="94"/>
      <c r="H99" s="158"/>
      <c r="I99" s="158"/>
      <c r="J99" s="158"/>
    </row>
    <row r="100" spans="1:10" s="44" customFormat="1" ht="15.75" customHeight="1">
      <c r="A100" s="84" t="s">
        <v>82</v>
      </c>
      <c r="B100" s="104"/>
      <c r="C100" s="104"/>
      <c r="D100" s="104"/>
      <c r="E100" s="105"/>
      <c r="F100" s="106"/>
      <c r="G100" s="86">
        <f>G101+G109</f>
        <v>83150000</v>
      </c>
      <c r="H100" s="86">
        <f>H101+H109</f>
        <v>74572400</v>
      </c>
      <c r="I100" s="86">
        <f>I101+I109</f>
        <v>17713577</v>
      </c>
      <c r="J100" s="266">
        <f>I100/H100</f>
        <v>0.23753529455938122</v>
      </c>
    </row>
    <row r="101" spans="1:10" s="44" customFormat="1" ht="15.75" customHeight="1">
      <c r="A101" s="87" t="s">
        <v>27</v>
      </c>
      <c r="B101" s="88"/>
      <c r="C101" s="88" t="s">
        <v>28</v>
      </c>
      <c r="D101" s="88"/>
      <c r="E101" s="88"/>
      <c r="F101" s="97"/>
      <c r="G101" s="89">
        <f>G102+G106</f>
        <v>68150000</v>
      </c>
      <c r="H101" s="89">
        <f>H102+H106</f>
        <v>58350000</v>
      </c>
      <c r="I101" s="89">
        <f>I102+I106</f>
        <v>1491177</v>
      </c>
      <c r="J101" s="267">
        <f aca="true" t="shared" si="4" ref="J101:J110">I101/H101</f>
        <v>0.02555573264781491</v>
      </c>
    </row>
    <row r="102" spans="1:10" s="44" customFormat="1" ht="15.75" customHeight="1">
      <c r="A102" s="97"/>
      <c r="B102" s="88" t="s">
        <v>192</v>
      </c>
      <c r="C102" s="98"/>
      <c r="D102" s="88" t="s">
        <v>193</v>
      </c>
      <c r="E102" s="98"/>
      <c r="F102" s="97"/>
      <c r="G102" s="89">
        <f>SUM(G103:G104)</f>
        <v>46000000</v>
      </c>
      <c r="H102" s="89">
        <f>SUM(H103:H104)</f>
        <v>46140000</v>
      </c>
      <c r="I102" s="89">
        <f>SUM(I103:I105)</f>
        <v>1130115</v>
      </c>
      <c r="J102" s="267">
        <f t="shared" si="4"/>
        <v>0.024493172951885564</v>
      </c>
    </row>
    <row r="103" spans="1:10" s="44" customFormat="1" ht="15.75" customHeight="1">
      <c r="A103" s="97"/>
      <c r="B103" s="91"/>
      <c r="C103" s="91" t="s">
        <v>196</v>
      </c>
      <c r="D103" s="91" t="s">
        <v>231</v>
      </c>
      <c r="E103" s="93"/>
      <c r="F103" s="97"/>
      <c r="G103" s="92">
        <v>45000000</v>
      </c>
      <c r="H103" s="92">
        <v>45000000</v>
      </c>
      <c r="I103" s="92">
        <v>0</v>
      </c>
      <c r="J103" s="268">
        <f t="shared" si="4"/>
        <v>0</v>
      </c>
    </row>
    <row r="104" spans="1:10" s="44" customFormat="1" ht="15.75" customHeight="1">
      <c r="A104" s="90"/>
      <c r="B104" s="91"/>
      <c r="C104" s="91" t="s">
        <v>232</v>
      </c>
      <c r="D104" s="91" t="s">
        <v>233</v>
      </c>
      <c r="E104" s="91"/>
      <c r="F104" s="97"/>
      <c r="G104" s="92">
        <v>1000000</v>
      </c>
      <c r="H104" s="92">
        <v>1140000</v>
      </c>
      <c r="I104" s="92">
        <v>1130114</v>
      </c>
      <c r="J104" s="268">
        <f t="shared" si="4"/>
        <v>0.9913280701754386</v>
      </c>
    </row>
    <row r="105" spans="1:10" s="44" customFormat="1" ht="15.75" customHeight="1">
      <c r="A105" s="90"/>
      <c r="B105" s="91"/>
      <c r="C105" s="91" t="s">
        <v>200</v>
      </c>
      <c r="D105" s="91" t="s">
        <v>201</v>
      </c>
      <c r="E105" s="91"/>
      <c r="F105" s="97"/>
      <c r="G105" s="92"/>
      <c r="H105" s="92"/>
      <c r="I105" s="92">
        <v>1</v>
      </c>
      <c r="J105" s="268"/>
    </row>
    <row r="106" spans="1:10" s="44" customFormat="1" ht="15.75" customHeight="1">
      <c r="A106" s="97"/>
      <c r="B106" s="88" t="s">
        <v>206</v>
      </c>
      <c r="C106" s="98"/>
      <c r="D106" s="88" t="s">
        <v>207</v>
      </c>
      <c r="E106" s="98"/>
      <c r="F106" s="97"/>
      <c r="G106" s="89">
        <f>SUM(G107:G108)</f>
        <v>22150000</v>
      </c>
      <c r="H106" s="89">
        <f>SUM(H107:H108)</f>
        <v>12210000</v>
      </c>
      <c r="I106" s="89">
        <f>SUM(I107:I108)</f>
        <v>361062</v>
      </c>
      <c r="J106" s="267">
        <f t="shared" si="4"/>
        <v>0.02957100737100737</v>
      </c>
    </row>
    <row r="107" spans="1:10" s="44" customFormat="1" ht="15.75" customHeight="1">
      <c r="A107" s="90"/>
      <c r="B107" s="91"/>
      <c r="C107" s="91" t="s">
        <v>208</v>
      </c>
      <c r="D107" s="91" t="s">
        <v>209</v>
      </c>
      <c r="E107" s="91"/>
      <c r="F107" s="97"/>
      <c r="G107" s="92">
        <v>12150000</v>
      </c>
      <c r="H107" s="92">
        <v>12150000</v>
      </c>
      <c r="I107" s="92">
        <v>301062</v>
      </c>
      <c r="J107" s="268">
        <f t="shared" si="4"/>
        <v>0.024778765432098764</v>
      </c>
    </row>
    <row r="108" spans="1:10" s="44" customFormat="1" ht="15.75" customHeight="1">
      <c r="A108" s="90"/>
      <c r="B108" s="91"/>
      <c r="C108" s="91" t="s">
        <v>234</v>
      </c>
      <c r="D108" s="91" t="s">
        <v>235</v>
      </c>
      <c r="E108" s="91"/>
      <c r="F108" s="97"/>
      <c r="G108" s="92">
        <v>10000000</v>
      </c>
      <c r="H108" s="92">
        <v>60000</v>
      </c>
      <c r="I108" s="92">
        <v>60000</v>
      </c>
      <c r="J108" s="268">
        <f t="shared" si="4"/>
        <v>1</v>
      </c>
    </row>
    <row r="109" spans="1:10" s="44" customFormat="1" ht="15.75" customHeight="1">
      <c r="A109" s="87" t="s">
        <v>36</v>
      </c>
      <c r="B109" s="88"/>
      <c r="C109" s="88" t="s">
        <v>37</v>
      </c>
      <c r="D109" s="91"/>
      <c r="E109" s="91"/>
      <c r="F109" s="91"/>
      <c r="G109" s="89">
        <f>SUM(G110:G111)</f>
        <v>15000000</v>
      </c>
      <c r="H109" s="89">
        <f>SUM(H110:H111)</f>
        <v>16222400</v>
      </c>
      <c r="I109" s="89">
        <f>SUM(I110:I111)</f>
        <v>16222400</v>
      </c>
      <c r="J109" s="267">
        <f t="shared" si="4"/>
        <v>1</v>
      </c>
    </row>
    <row r="110" spans="1:10" s="44" customFormat="1" ht="15.75" customHeight="1">
      <c r="A110" s="90"/>
      <c r="B110" s="88" t="s">
        <v>247</v>
      </c>
      <c r="C110" s="91"/>
      <c r="D110" s="91" t="s">
        <v>401</v>
      </c>
      <c r="E110" s="91"/>
      <c r="F110" s="91"/>
      <c r="G110" s="92">
        <f>11811000</f>
        <v>11811000</v>
      </c>
      <c r="H110" s="108">
        <v>12947024</v>
      </c>
      <c r="I110" s="108">
        <v>12947024</v>
      </c>
      <c r="J110" s="268">
        <f t="shared" si="4"/>
        <v>1</v>
      </c>
    </row>
    <row r="111" spans="1:10" s="44" customFormat="1" ht="15.75" customHeight="1">
      <c r="A111" s="90"/>
      <c r="B111" s="113" t="s">
        <v>249</v>
      </c>
      <c r="C111" s="81"/>
      <c r="D111" s="81" t="s">
        <v>250</v>
      </c>
      <c r="E111" s="81"/>
      <c r="F111" s="91"/>
      <c r="G111" s="100">
        <f>3189000</f>
        <v>3189000</v>
      </c>
      <c r="H111" s="108">
        <v>3275376</v>
      </c>
      <c r="I111" s="108">
        <v>3275376</v>
      </c>
      <c r="J111" s="268">
        <f>I111/H111</f>
        <v>1</v>
      </c>
    </row>
    <row r="112" spans="1:10" s="44" customFormat="1" ht="15.75" customHeight="1">
      <c r="A112" s="90"/>
      <c r="B112" s="81"/>
      <c r="C112" s="81"/>
      <c r="D112" s="81"/>
      <c r="E112" s="81"/>
      <c r="F112" s="91"/>
      <c r="G112" s="100"/>
      <c r="H112" s="158"/>
      <c r="I112" s="158"/>
      <c r="J112" s="158"/>
    </row>
    <row r="113" spans="1:10" s="44" customFormat="1" ht="15.75" customHeight="1">
      <c r="A113" s="84" t="s">
        <v>239</v>
      </c>
      <c r="B113" s="104"/>
      <c r="C113" s="104"/>
      <c r="D113" s="104"/>
      <c r="E113" s="104"/>
      <c r="F113" s="104"/>
      <c r="G113" s="107">
        <f aca="true" t="shared" si="5" ref="G113:I114">SUM(G114)</f>
        <v>500000</v>
      </c>
      <c r="H113" s="107">
        <f t="shared" si="5"/>
        <v>500000</v>
      </c>
      <c r="I113" s="107">
        <f t="shared" si="5"/>
        <v>500000</v>
      </c>
      <c r="J113" s="269">
        <f>I113/H113</f>
        <v>1</v>
      </c>
    </row>
    <row r="114" spans="1:10" s="44" customFormat="1" ht="15.75" customHeight="1">
      <c r="A114" s="87" t="s">
        <v>31</v>
      </c>
      <c r="B114" s="88"/>
      <c r="C114" s="88" t="s">
        <v>32</v>
      </c>
      <c r="D114" s="88"/>
      <c r="E114" s="88"/>
      <c r="F114" s="91"/>
      <c r="G114" s="108">
        <f t="shared" si="5"/>
        <v>500000</v>
      </c>
      <c r="H114" s="108">
        <f t="shared" si="5"/>
        <v>500000</v>
      </c>
      <c r="I114" s="108">
        <f t="shared" si="5"/>
        <v>500000</v>
      </c>
      <c r="J114" s="268">
        <f>I114/H114</f>
        <v>1</v>
      </c>
    </row>
    <row r="115" spans="1:10" s="44" customFormat="1" ht="15.75" customHeight="1">
      <c r="A115" s="90"/>
      <c r="B115" s="91"/>
      <c r="C115" s="91" t="s">
        <v>214</v>
      </c>
      <c r="D115" s="91" t="s">
        <v>215</v>
      </c>
      <c r="E115" s="91"/>
      <c r="F115" s="91"/>
      <c r="G115" s="109">
        <f>G116</f>
        <v>500000</v>
      </c>
      <c r="H115" s="109">
        <f>H116</f>
        <v>500000</v>
      </c>
      <c r="I115" s="109">
        <f>I116</f>
        <v>500000</v>
      </c>
      <c r="J115" s="268">
        <f>I115/H115</f>
        <v>1</v>
      </c>
    </row>
    <row r="116" spans="1:10" s="44" customFormat="1" ht="15.75" customHeight="1">
      <c r="A116" s="90"/>
      <c r="B116" s="91"/>
      <c r="C116" s="91"/>
      <c r="D116" s="91"/>
      <c r="E116" s="91" t="s">
        <v>240</v>
      </c>
      <c r="F116" s="91"/>
      <c r="G116" s="100">
        <v>500000</v>
      </c>
      <c r="H116" s="100">
        <v>500000</v>
      </c>
      <c r="I116" s="100">
        <v>500000</v>
      </c>
      <c r="J116" s="268">
        <f>I116/H116</f>
        <v>1</v>
      </c>
    </row>
    <row r="117" spans="1:10" s="44" customFormat="1" ht="15.75" customHeight="1">
      <c r="A117" s="90"/>
      <c r="B117" s="91"/>
      <c r="C117" s="91"/>
      <c r="D117" s="91"/>
      <c r="E117" s="91"/>
      <c r="F117" s="91"/>
      <c r="G117" s="100"/>
      <c r="H117" s="158"/>
      <c r="I117" s="158"/>
      <c r="J117" s="158"/>
    </row>
    <row r="118" spans="1:10" s="44" customFormat="1" ht="15.75" customHeight="1">
      <c r="A118" s="84" t="s">
        <v>241</v>
      </c>
      <c r="B118" s="104"/>
      <c r="C118" s="104"/>
      <c r="D118" s="104"/>
      <c r="E118" s="104"/>
      <c r="F118" s="104"/>
      <c r="G118" s="107">
        <f>SUM(G120)</f>
        <v>200000</v>
      </c>
      <c r="H118" s="107">
        <f>SUM(H120)</f>
        <v>300000</v>
      </c>
      <c r="I118" s="107">
        <f>SUM(I120)</f>
        <v>300000</v>
      </c>
      <c r="J118" s="269">
        <f>I118/H118</f>
        <v>1</v>
      </c>
    </row>
    <row r="119" spans="1:10" s="142" customFormat="1" ht="15.75" customHeight="1">
      <c r="A119" s="87" t="s">
        <v>31</v>
      </c>
      <c r="B119" s="88"/>
      <c r="C119" s="88" t="s">
        <v>32</v>
      </c>
      <c r="D119" s="88"/>
      <c r="E119" s="88"/>
      <c r="F119" s="91"/>
      <c r="G119" s="108">
        <f>SUM(G120)</f>
        <v>200000</v>
      </c>
      <c r="H119" s="108">
        <f>SUM(H120)</f>
        <v>300000</v>
      </c>
      <c r="I119" s="108">
        <f>SUM(I120)</f>
        <v>300000</v>
      </c>
      <c r="J119" s="268">
        <f>I119/H119</f>
        <v>1</v>
      </c>
    </row>
    <row r="120" spans="1:10" s="44" customFormat="1" ht="15.75" customHeight="1">
      <c r="A120" s="90"/>
      <c r="B120" s="91"/>
      <c r="C120" s="91" t="s">
        <v>214</v>
      </c>
      <c r="D120" s="91" t="s">
        <v>215</v>
      </c>
      <c r="E120" s="91"/>
      <c r="F120" s="91"/>
      <c r="G120" s="100">
        <v>200000</v>
      </c>
      <c r="H120" s="100">
        <v>300000</v>
      </c>
      <c r="I120" s="100">
        <v>300000</v>
      </c>
      <c r="J120" s="268">
        <f>I120/H120</f>
        <v>1</v>
      </c>
    </row>
    <row r="121" spans="1:10" s="44" customFormat="1" ht="15.75" customHeight="1">
      <c r="A121" s="90"/>
      <c r="B121" s="91"/>
      <c r="C121" s="91"/>
      <c r="D121" s="91"/>
      <c r="E121" s="91"/>
      <c r="F121" s="91"/>
      <c r="G121" s="100"/>
      <c r="H121" s="158"/>
      <c r="I121" s="158"/>
      <c r="J121" s="158"/>
    </row>
    <row r="122" spans="1:10" s="44" customFormat="1" ht="15.75" customHeight="1">
      <c r="A122" s="84" t="s">
        <v>109</v>
      </c>
      <c r="B122" s="104"/>
      <c r="C122" s="104"/>
      <c r="D122" s="84"/>
      <c r="E122" s="111"/>
      <c r="F122" s="114">
        <v>1</v>
      </c>
      <c r="G122" s="86">
        <f>G123+G127+G130</f>
        <v>2075250</v>
      </c>
      <c r="H122" s="86">
        <f>H123+H127+H130</f>
        <v>821250</v>
      </c>
      <c r="I122" s="86">
        <f>I123+I127+I130</f>
        <v>768049</v>
      </c>
      <c r="J122" s="269">
        <f aca="true" t="shared" si="6" ref="J122:J128">I122/H122</f>
        <v>0.9352194824961948</v>
      </c>
    </row>
    <row r="123" spans="1:10" s="44" customFormat="1" ht="15.75" customHeight="1">
      <c r="A123" s="87" t="s">
        <v>23</v>
      </c>
      <c r="B123" s="88"/>
      <c r="C123" s="88" t="s">
        <v>158</v>
      </c>
      <c r="D123" s="88"/>
      <c r="E123" s="88"/>
      <c r="F123" s="93"/>
      <c r="G123" s="89">
        <f>G124</f>
        <v>1550000</v>
      </c>
      <c r="H123" s="89">
        <f>H124</f>
        <v>750000</v>
      </c>
      <c r="I123" s="89">
        <f>I124</f>
        <v>681565</v>
      </c>
      <c r="J123" s="267">
        <f t="shared" si="6"/>
        <v>0.9087533333333333</v>
      </c>
    </row>
    <row r="124" spans="1:10" s="44" customFormat="1" ht="15.75" customHeight="1">
      <c r="A124" s="90"/>
      <c r="B124" s="88" t="s">
        <v>159</v>
      </c>
      <c r="C124" s="91"/>
      <c r="D124" s="91" t="s">
        <v>160</v>
      </c>
      <c r="E124" s="91"/>
      <c r="F124" s="93"/>
      <c r="G124" s="92">
        <f>G125+G126</f>
        <v>1550000</v>
      </c>
      <c r="H124" s="92">
        <f>H125+H126</f>
        <v>750000</v>
      </c>
      <c r="I124" s="92">
        <f>I125+I126</f>
        <v>681565</v>
      </c>
      <c r="J124" s="268">
        <f t="shared" si="6"/>
        <v>0.9087533333333333</v>
      </c>
    </row>
    <row r="125" spans="1:10" s="44" customFormat="1" ht="15.75" customHeight="1">
      <c r="A125" s="81"/>
      <c r="B125" s="91"/>
      <c r="C125" s="91" t="s">
        <v>161</v>
      </c>
      <c r="D125" s="91" t="s">
        <v>162</v>
      </c>
      <c r="E125" s="91"/>
      <c r="F125" s="97"/>
      <c r="G125" s="92">
        <f>1500000</f>
        <v>1500000</v>
      </c>
      <c r="H125" s="92">
        <v>700000</v>
      </c>
      <c r="I125" s="92">
        <v>636933</v>
      </c>
      <c r="J125" s="268">
        <f t="shared" si="6"/>
        <v>0.9099042857142857</v>
      </c>
    </row>
    <row r="126" spans="1:10" s="44" customFormat="1" ht="15.75" customHeight="1">
      <c r="A126" s="90"/>
      <c r="B126" s="91"/>
      <c r="C126" s="91" t="s">
        <v>230</v>
      </c>
      <c r="D126" s="91" t="s">
        <v>160</v>
      </c>
      <c r="E126" s="91"/>
      <c r="F126" s="96"/>
      <c r="G126" s="92">
        <v>50000</v>
      </c>
      <c r="H126" s="92">
        <v>50000</v>
      </c>
      <c r="I126" s="92">
        <v>44632</v>
      </c>
      <c r="J126" s="268">
        <f t="shared" si="6"/>
        <v>0.89264</v>
      </c>
    </row>
    <row r="127" spans="1:10" s="44" customFormat="1" ht="15.75" customHeight="1">
      <c r="A127" s="87" t="s">
        <v>25</v>
      </c>
      <c r="B127" s="88"/>
      <c r="C127" s="88" t="s">
        <v>175</v>
      </c>
      <c r="D127" s="95"/>
      <c r="E127" s="95"/>
      <c r="F127" s="96"/>
      <c r="G127" s="112">
        <f>G128</f>
        <v>271250</v>
      </c>
      <c r="H127" s="112">
        <f>H128</f>
        <v>71250</v>
      </c>
      <c r="I127" s="112">
        <f>I128+I129</f>
        <v>86484</v>
      </c>
      <c r="J127" s="267">
        <f t="shared" si="6"/>
        <v>1.2138105263157895</v>
      </c>
    </row>
    <row r="128" spans="1:10" s="44" customFormat="1" ht="15.75" customHeight="1">
      <c r="A128" s="90"/>
      <c r="B128" s="91"/>
      <c r="C128" s="91" t="s">
        <v>244</v>
      </c>
      <c r="D128" s="93" t="s">
        <v>245</v>
      </c>
      <c r="E128" s="91"/>
      <c r="F128" s="91"/>
      <c r="G128" s="100">
        <f>G124*0.175</f>
        <v>271250</v>
      </c>
      <c r="H128" s="100">
        <v>71250</v>
      </c>
      <c r="I128" s="100">
        <v>62896</v>
      </c>
      <c r="J128" s="268">
        <f t="shared" si="6"/>
        <v>0.8827508771929825</v>
      </c>
    </row>
    <row r="129" spans="1:10" s="44" customFormat="1" ht="15.75" customHeight="1">
      <c r="A129" s="90"/>
      <c r="B129" s="91"/>
      <c r="C129" s="91" t="s">
        <v>244</v>
      </c>
      <c r="D129" s="93" t="s">
        <v>470</v>
      </c>
      <c r="E129" s="91"/>
      <c r="F129" s="91"/>
      <c r="G129" s="100"/>
      <c r="H129" s="100"/>
      <c r="I129" s="100">
        <v>23588</v>
      </c>
      <c r="J129" s="268"/>
    </row>
    <row r="130" spans="1:10" s="44" customFormat="1" ht="15.75" customHeight="1">
      <c r="A130" s="87" t="s">
        <v>27</v>
      </c>
      <c r="B130" s="88"/>
      <c r="C130" s="88" t="s">
        <v>28</v>
      </c>
      <c r="D130" s="88"/>
      <c r="E130" s="88"/>
      <c r="F130" s="91"/>
      <c r="G130" s="89">
        <f>G131+G133</f>
        <v>254000</v>
      </c>
      <c r="H130" s="89">
        <f>H131+H133</f>
        <v>0</v>
      </c>
      <c r="I130" s="89">
        <f>I131+I133</f>
        <v>0</v>
      </c>
      <c r="J130" s="268"/>
    </row>
    <row r="131" spans="1:10" s="44" customFormat="1" ht="15.75" customHeight="1">
      <c r="A131" s="97"/>
      <c r="B131" s="88" t="s">
        <v>178</v>
      </c>
      <c r="C131" s="98"/>
      <c r="D131" s="88" t="s">
        <v>179</v>
      </c>
      <c r="E131" s="99"/>
      <c r="F131" s="97"/>
      <c r="G131" s="89">
        <f>+G132</f>
        <v>200000</v>
      </c>
      <c r="H131" s="89">
        <f>+H132</f>
        <v>0</v>
      </c>
      <c r="I131" s="89">
        <f>+I132</f>
        <v>0</v>
      </c>
      <c r="J131" s="268"/>
    </row>
    <row r="132" spans="1:10" s="44" customFormat="1" ht="15.75" customHeight="1">
      <c r="A132" s="90"/>
      <c r="B132" s="91"/>
      <c r="C132" s="91" t="s">
        <v>183</v>
      </c>
      <c r="D132" s="91" t="s">
        <v>184</v>
      </c>
      <c r="E132" s="91"/>
      <c r="F132" s="91"/>
      <c r="G132" s="92">
        <v>200000</v>
      </c>
      <c r="H132" s="92">
        <v>0</v>
      </c>
      <c r="I132" s="92">
        <v>0</v>
      </c>
      <c r="J132" s="268"/>
    </row>
    <row r="133" spans="1:10" s="44" customFormat="1" ht="15.75" customHeight="1">
      <c r="A133" s="90"/>
      <c r="B133" s="88" t="s">
        <v>206</v>
      </c>
      <c r="C133" s="98"/>
      <c r="D133" s="88" t="s">
        <v>207</v>
      </c>
      <c r="E133" s="98"/>
      <c r="F133" s="93"/>
      <c r="G133" s="89">
        <f>G134</f>
        <v>54000</v>
      </c>
      <c r="H133" s="89">
        <f>H134</f>
        <v>0</v>
      </c>
      <c r="I133" s="89">
        <f>I134</f>
        <v>0</v>
      </c>
      <c r="J133" s="268"/>
    </row>
    <row r="134" spans="1:10" s="44" customFormat="1" ht="15.75" customHeight="1">
      <c r="A134" s="90"/>
      <c r="B134" s="91"/>
      <c r="C134" s="91" t="s">
        <v>208</v>
      </c>
      <c r="D134" s="91" t="s">
        <v>209</v>
      </c>
      <c r="E134" s="91"/>
      <c r="F134" s="91"/>
      <c r="G134" s="100">
        <v>54000</v>
      </c>
      <c r="H134" s="100">
        <v>0</v>
      </c>
      <c r="I134" s="100">
        <v>0</v>
      </c>
      <c r="J134" s="268"/>
    </row>
    <row r="135" spans="1:10" s="44" customFormat="1" ht="15.75" customHeight="1">
      <c r="A135" s="90"/>
      <c r="B135" s="91"/>
      <c r="C135" s="91"/>
      <c r="D135" s="91"/>
      <c r="E135" s="91"/>
      <c r="F135" s="91"/>
      <c r="G135" s="100"/>
      <c r="H135" s="159"/>
      <c r="I135" s="159"/>
      <c r="J135" s="159"/>
    </row>
    <row r="136" spans="1:10" s="44" customFormat="1" ht="15.75" customHeight="1">
      <c r="A136" s="84" t="s">
        <v>382</v>
      </c>
      <c r="B136" s="104"/>
      <c r="C136" s="104"/>
      <c r="D136" s="84"/>
      <c r="E136" s="111"/>
      <c r="F136" s="114"/>
      <c r="G136" s="86">
        <f>SUM(G137)</f>
        <v>9984740</v>
      </c>
      <c r="H136" s="86">
        <f>SUM(H137)</f>
        <v>10760710</v>
      </c>
      <c r="I136" s="86">
        <f>SUM(I137)</f>
        <v>10760710</v>
      </c>
      <c r="J136" s="269">
        <f>I136/H136</f>
        <v>1</v>
      </c>
    </row>
    <row r="137" spans="1:10" s="44" customFormat="1" ht="15.75" customHeight="1">
      <c r="A137" s="113" t="s">
        <v>36</v>
      </c>
      <c r="B137" s="81"/>
      <c r="C137" s="113" t="s">
        <v>37</v>
      </c>
      <c r="D137" s="81"/>
      <c r="E137" s="81"/>
      <c r="F137" s="91"/>
      <c r="G137" s="112">
        <f>SUM(G138:G139)</f>
        <v>9984740</v>
      </c>
      <c r="H137" s="112">
        <f>SUM(H138:H139)</f>
        <v>10760710</v>
      </c>
      <c r="I137" s="112">
        <f>SUM(I138:I139)</f>
        <v>10760710</v>
      </c>
      <c r="J137" s="267">
        <f>I137/H137</f>
        <v>1</v>
      </c>
    </row>
    <row r="138" spans="1:10" s="44" customFormat="1" ht="15.75" customHeight="1">
      <c r="A138" s="81"/>
      <c r="B138" s="113" t="s">
        <v>247</v>
      </c>
      <c r="C138" s="81"/>
      <c r="D138" s="81" t="s">
        <v>385</v>
      </c>
      <c r="E138" s="81"/>
      <c r="F138" s="91"/>
      <c r="G138" s="100">
        <v>7861984</v>
      </c>
      <c r="H138" s="100">
        <v>8473000</v>
      </c>
      <c r="I138" s="100">
        <v>8473000</v>
      </c>
      <c r="J138" s="268">
        <f>I138/H138</f>
        <v>1</v>
      </c>
    </row>
    <row r="139" spans="1:10" s="44" customFormat="1" ht="15.75" customHeight="1">
      <c r="A139" s="81"/>
      <c r="B139" s="113" t="s">
        <v>249</v>
      </c>
      <c r="C139" s="81"/>
      <c r="D139" s="81" t="s">
        <v>250</v>
      </c>
      <c r="E139" s="81"/>
      <c r="F139" s="91"/>
      <c r="G139" s="100">
        <v>2122756</v>
      </c>
      <c r="H139" s="100">
        <v>2287710</v>
      </c>
      <c r="I139" s="100">
        <v>2287710</v>
      </c>
      <c r="J139" s="268">
        <f>I139/H139</f>
        <v>1</v>
      </c>
    </row>
    <row r="140" spans="1:10" s="44" customFormat="1" ht="15.75" customHeight="1">
      <c r="A140" s="90"/>
      <c r="B140" s="91"/>
      <c r="C140" s="91"/>
      <c r="D140" s="93"/>
      <c r="E140" s="91"/>
      <c r="F140" s="91"/>
      <c r="G140" s="92"/>
      <c r="H140" s="158"/>
      <c r="I140" s="158"/>
      <c r="J140" s="158"/>
    </row>
    <row r="141" spans="1:10" s="44" customFormat="1" ht="15.75" customHeight="1">
      <c r="A141" s="84" t="s">
        <v>246</v>
      </c>
      <c r="B141" s="102"/>
      <c r="C141" s="102"/>
      <c r="D141" s="102"/>
      <c r="E141" s="102"/>
      <c r="F141" s="102"/>
      <c r="G141" s="86">
        <f>G142+G149</f>
        <v>18556000</v>
      </c>
      <c r="H141" s="86">
        <f>H142+H149</f>
        <v>1056000</v>
      </c>
      <c r="I141" s="86">
        <f>I142+I149</f>
        <v>928226</v>
      </c>
      <c r="J141" s="269">
        <f>I141/H141</f>
        <v>0.879001893939394</v>
      </c>
    </row>
    <row r="142" spans="1:10" s="44" customFormat="1" ht="15.75" customHeight="1">
      <c r="A142" s="87" t="s">
        <v>27</v>
      </c>
      <c r="B142" s="88"/>
      <c r="C142" s="88" t="s">
        <v>28</v>
      </c>
      <c r="D142" s="88"/>
      <c r="E142" s="88"/>
      <c r="F142" s="91"/>
      <c r="G142" s="89">
        <f>G143+G145+G147</f>
        <v>3556000</v>
      </c>
      <c r="H142" s="89">
        <f>H143+H145+H147</f>
        <v>1056000</v>
      </c>
      <c r="I142" s="89">
        <f>I143+I145+I147</f>
        <v>928226</v>
      </c>
      <c r="J142" s="267">
        <f aca="true" t="shared" si="7" ref="J142:J148">I142/H142</f>
        <v>0.879001893939394</v>
      </c>
    </row>
    <row r="143" spans="1:10" s="44" customFormat="1" ht="15.75" customHeight="1">
      <c r="A143" s="97"/>
      <c r="B143" s="88" t="s">
        <v>178</v>
      </c>
      <c r="C143" s="98"/>
      <c r="D143" s="88" t="s">
        <v>179</v>
      </c>
      <c r="E143" s="99"/>
      <c r="F143" s="88"/>
      <c r="G143" s="89">
        <f>G144</f>
        <v>800000</v>
      </c>
      <c r="H143" s="89">
        <f>H144</f>
        <v>200000</v>
      </c>
      <c r="I143" s="89">
        <f>I144</f>
        <v>176241</v>
      </c>
      <c r="J143" s="267">
        <f t="shared" si="7"/>
        <v>0.881205</v>
      </c>
    </row>
    <row r="144" spans="1:10" s="44" customFormat="1" ht="15.75" customHeight="1">
      <c r="A144" s="90"/>
      <c r="B144" s="91"/>
      <c r="C144" s="91" t="s">
        <v>183</v>
      </c>
      <c r="D144" s="91" t="s">
        <v>184</v>
      </c>
      <c r="E144" s="91"/>
      <c r="F144" s="91"/>
      <c r="G144" s="92">
        <v>800000</v>
      </c>
      <c r="H144" s="92">
        <v>200000</v>
      </c>
      <c r="I144" s="92">
        <v>176241</v>
      </c>
      <c r="J144" s="268">
        <f t="shared" si="7"/>
        <v>0.881205</v>
      </c>
    </row>
    <row r="145" spans="1:10" s="44" customFormat="1" ht="15.75" customHeight="1">
      <c r="A145" s="97"/>
      <c r="B145" s="88" t="s">
        <v>192</v>
      </c>
      <c r="C145" s="98"/>
      <c r="D145" s="88" t="s">
        <v>193</v>
      </c>
      <c r="E145" s="98"/>
      <c r="F145" s="88"/>
      <c r="G145" s="89">
        <f>G146</f>
        <v>2000000</v>
      </c>
      <c r="H145" s="89">
        <f>H146</f>
        <v>600000</v>
      </c>
      <c r="I145" s="89">
        <f>I146</f>
        <v>554646</v>
      </c>
      <c r="J145" s="267">
        <f t="shared" si="7"/>
        <v>0.92441</v>
      </c>
    </row>
    <row r="146" spans="1:10" s="44" customFormat="1" ht="15.75" customHeight="1">
      <c r="A146" s="90"/>
      <c r="B146" s="91"/>
      <c r="C146" s="91" t="s">
        <v>198</v>
      </c>
      <c r="D146" s="91" t="s">
        <v>199</v>
      </c>
      <c r="E146" s="91"/>
      <c r="F146" s="97"/>
      <c r="G146" s="92">
        <v>2000000</v>
      </c>
      <c r="H146" s="92">
        <v>600000</v>
      </c>
      <c r="I146" s="92">
        <v>554646</v>
      </c>
      <c r="J146" s="268">
        <f t="shared" si="7"/>
        <v>0.92441</v>
      </c>
    </row>
    <row r="147" spans="1:10" s="44" customFormat="1" ht="15.75" customHeight="1">
      <c r="A147" s="97"/>
      <c r="B147" s="88" t="s">
        <v>206</v>
      </c>
      <c r="C147" s="98"/>
      <c r="D147" s="88" t="s">
        <v>207</v>
      </c>
      <c r="E147" s="98"/>
      <c r="F147" s="99"/>
      <c r="G147" s="89">
        <f>G148</f>
        <v>756000</v>
      </c>
      <c r="H147" s="89">
        <f>H148</f>
        <v>256000</v>
      </c>
      <c r="I147" s="89">
        <f>I148</f>
        <v>197339</v>
      </c>
      <c r="J147" s="267">
        <f t="shared" si="7"/>
        <v>0.77085546875</v>
      </c>
    </row>
    <row r="148" spans="1:10" s="44" customFormat="1" ht="15.75" customHeight="1">
      <c r="A148" s="90"/>
      <c r="B148" s="91"/>
      <c r="C148" s="91" t="s">
        <v>208</v>
      </c>
      <c r="D148" s="91" t="s">
        <v>209</v>
      </c>
      <c r="E148" s="91"/>
      <c r="F148" s="97"/>
      <c r="G148" s="92">
        <v>756000</v>
      </c>
      <c r="H148" s="92">
        <v>256000</v>
      </c>
      <c r="I148" s="92">
        <v>197339</v>
      </c>
      <c r="J148" s="268">
        <f t="shared" si="7"/>
        <v>0.77085546875</v>
      </c>
    </row>
    <row r="149" spans="1:10" s="44" customFormat="1" ht="15.75" customHeight="1">
      <c r="A149" s="113" t="s">
        <v>36</v>
      </c>
      <c r="B149" s="81"/>
      <c r="C149" s="113" t="s">
        <v>37</v>
      </c>
      <c r="D149" s="81"/>
      <c r="E149" s="81"/>
      <c r="F149" s="97"/>
      <c r="G149" s="89">
        <f>SUM(G150:G151)</f>
        <v>15000000</v>
      </c>
      <c r="H149" s="89">
        <f>SUM(H150:H151)</f>
        <v>0</v>
      </c>
      <c r="I149" s="89">
        <f>SUM(I150:I151)</f>
        <v>0</v>
      </c>
      <c r="J149" s="89">
        <f>SUM(J150:J151)</f>
        <v>0</v>
      </c>
    </row>
    <row r="150" spans="1:10" s="44" customFormat="1" ht="15.75" customHeight="1">
      <c r="A150" s="81"/>
      <c r="B150" s="113" t="s">
        <v>247</v>
      </c>
      <c r="C150" s="81"/>
      <c r="D150" s="81" t="s">
        <v>248</v>
      </c>
      <c r="E150" s="81"/>
      <c r="F150" s="97"/>
      <c r="G150" s="92">
        <v>11811000</v>
      </c>
      <c r="H150" s="92">
        <v>0</v>
      </c>
      <c r="I150" s="92">
        <v>0</v>
      </c>
      <c r="J150" s="92">
        <v>0</v>
      </c>
    </row>
    <row r="151" spans="1:10" s="44" customFormat="1" ht="15.75" customHeight="1">
      <c r="A151" s="81"/>
      <c r="B151" s="113" t="s">
        <v>249</v>
      </c>
      <c r="C151" s="81"/>
      <c r="D151" s="81" t="s">
        <v>250</v>
      </c>
      <c r="E151" s="81"/>
      <c r="F151" s="97"/>
      <c r="G151" s="92">
        <v>3189000</v>
      </c>
      <c r="H151" s="92">
        <v>0</v>
      </c>
      <c r="I151" s="92">
        <v>0</v>
      </c>
      <c r="J151" s="92">
        <v>0</v>
      </c>
    </row>
    <row r="152" spans="1:10" s="44" customFormat="1" ht="15.75" customHeight="1">
      <c r="A152" s="81"/>
      <c r="B152" s="81"/>
      <c r="C152" s="81"/>
      <c r="D152" s="81"/>
      <c r="E152" s="81"/>
      <c r="F152" s="97"/>
      <c r="G152" s="92"/>
      <c r="H152" s="158"/>
      <c r="I152" s="158"/>
      <c r="J152" s="158"/>
    </row>
    <row r="153" spans="1:10" s="44" customFormat="1" ht="15.75" customHeight="1">
      <c r="A153" s="84" t="s">
        <v>337</v>
      </c>
      <c r="B153" s="102"/>
      <c r="C153" s="102"/>
      <c r="D153" s="102"/>
      <c r="E153" s="102"/>
      <c r="F153" s="102"/>
      <c r="G153" s="86">
        <f>G154</f>
        <v>1460500</v>
      </c>
      <c r="H153" s="86">
        <f>H154</f>
        <v>1640500</v>
      </c>
      <c r="I153" s="86">
        <f>I154</f>
        <v>1091110</v>
      </c>
      <c r="J153" s="269">
        <f>I153/H153</f>
        <v>0.6651081987199025</v>
      </c>
    </row>
    <row r="154" spans="1:10" s="142" customFormat="1" ht="15.75" customHeight="1">
      <c r="A154" s="87" t="s">
        <v>27</v>
      </c>
      <c r="B154" s="88"/>
      <c r="C154" s="88" t="s">
        <v>28</v>
      </c>
      <c r="D154" s="88"/>
      <c r="E154" s="88"/>
      <c r="F154" s="91"/>
      <c r="G154" s="89">
        <f>G155+G157+G161</f>
        <v>1460500</v>
      </c>
      <c r="H154" s="89">
        <f>H155+H157+H161</f>
        <v>1640500</v>
      </c>
      <c r="I154" s="89">
        <f>I155+I157+I161</f>
        <v>1091110</v>
      </c>
      <c r="J154" s="267">
        <f aca="true" t="shared" si="8" ref="J154:J162">I154/H154</f>
        <v>0.6651081987199025</v>
      </c>
    </row>
    <row r="155" spans="1:10" s="142" customFormat="1" ht="15.75" customHeight="1">
      <c r="A155" s="97"/>
      <c r="B155" s="88" t="s">
        <v>178</v>
      </c>
      <c r="C155" s="98"/>
      <c r="D155" s="88" t="s">
        <v>179</v>
      </c>
      <c r="E155" s="99"/>
      <c r="F155" s="88"/>
      <c r="G155" s="89">
        <f>G156</f>
        <v>200000</v>
      </c>
      <c r="H155" s="89">
        <f>H156</f>
        <v>200000</v>
      </c>
      <c r="I155" s="89">
        <f>I156</f>
        <v>34453</v>
      </c>
      <c r="J155" s="267">
        <f t="shared" si="8"/>
        <v>0.172265</v>
      </c>
    </row>
    <row r="156" spans="1:10" s="142" customFormat="1" ht="15.75" customHeight="1">
      <c r="A156" s="90"/>
      <c r="B156" s="91"/>
      <c r="C156" s="91" t="s">
        <v>183</v>
      </c>
      <c r="D156" s="91" t="s">
        <v>184</v>
      </c>
      <c r="E156" s="91"/>
      <c r="F156" s="91"/>
      <c r="G156" s="92">
        <v>200000</v>
      </c>
      <c r="H156" s="92">
        <v>200000</v>
      </c>
      <c r="I156" s="92">
        <v>34453</v>
      </c>
      <c r="J156" s="268">
        <f t="shared" si="8"/>
        <v>0.172265</v>
      </c>
    </row>
    <row r="157" spans="1:10" s="44" customFormat="1" ht="15.75" customHeight="1">
      <c r="A157" s="97"/>
      <c r="B157" s="88" t="s">
        <v>192</v>
      </c>
      <c r="C157" s="98"/>
      <c r="D157" s="88" t="s">
        <v>193</v>
      </c>
      <c r="E157" s="98"/>
      <c r="F157" s="88"/>
      <c r="G157" s="89">
        <f>G158+G159+G160</f>
        <v>950000</v>
      </c>
      <c r="H157" s="89">
        <f>H158+H159+H160</f>
        <v>1130000</v>
      </c>
      <c r="I157" s="89">
        <f>I158+I159+I160</f>
        <v>905004</v>
      </c>
      <c r="J157" s="267">
        <f t="shared" si="8"/>
        <v>0.8008884955752212</v>
      </c>
    </row>
    <row r="158" spans="1:10" s="44" customFormat="1" ht="15.75" customHeight="1">
      <c r="A158" s="90"/>
      <c r="B158" s="91"/>
      <c r="C158" s="91" t="s">
        <v>194</v>
      </c>
      <c r="D158" s="91" t="s">
        <v>195</v>
      </c>
      <c r="E158" s="91"/>
      <c r="F158" s="97"/>
      <c r="G158" s="92">
        <v>200000</v>
      </c>
      <c r="H158" s="92">
        <v>380000</v>
      </c>
      <c r="I158" s="92">
        <v>379215</v>
      </c>
      <c r="J158" s="268">
        <f t="shared" si="8"/>
        <v>0.9979342105263158</v>
      </c>
    </row>
    <row r="159" spans="1:10" s="44" customFormat="1" ht="15.75" customHeight="1">
      <c r="A159" s="81"/>
      <c r="B159" s="81"/>
      <c r="C159" s="91" t="s">
        <v>198</v>
      </c>
      <c r="D159" s="91" t="s">
        <v>199</v>
      </c>
      <c r="E159" s="91"/>
      <c r="F159" s="97"/>
      <c r="G159" s="92">
        <v>250000</v>
      </c>
      <c r="H159" s="92">
        <v>250000</v>
      </c>
      <c r="I159" s="92">
        <v>152811</v>
      </c>
      <c r="J159" s="268">
        <f t="shared" si="8"/>
        <v>0.611244</v>
      </c>
    </row>
    <row r="160" spans="1:10" s="44" customFormat="1" ht="15.75" customHeight="1">
      <c r="A160" s="81"/>
      <c r="B160" s="81"/>
      <c r="C160" s="91" t="s">
        <v>200</v>
      </c>
      <c r="D160" s="91" t="s">
        <v>201</v>
      </c>
      <c r="E160" s="91"/>
      <c r="F160" s="97"/>
      <c r="G160" s="92">
        <v>500000</v>
      </c>
      <c r="H160" s="92">
        <v>500000</v>
      </c>
      <c r="I160" s="92">
        <v>372978</v>
      </c>
      <c r="J160" s="268">
        <f t="shared" si="8"/>
        <v>0.745956</v>
      </c>
    </row>
    <row r="161" spans="1:10" s="44" customFormat="1" ht="15.75" customHeight="1">
      <c r="A161" s="81"/>
      <c r="B161" s="88" t="s">
        <v>206</v>
      </c>
      <c r="C161" s="98"/>
      <c r="D161" s="88" t="s">
        <v>207</v>
      </c>
      <c r="E161" s="98"/>
      <c r="F161" s="97"/>
      <c r="G161" s="92">
        <f>SUM(G162)</f>
        <v>310500</v>
      </c>
      <c r="H161" s="92">
        <f>SUM(H162)</f>
        <v>310500</v>
      </c>
      <c r="I161" s="92">
        <f>SUM(I162)</f>
        <v>151653</v>
      </c>
      <c r="J161" s="268">
        <f t="shared" si="8"/>
        <v>0.48841545893719807</v>
      </c>
    </row>
    <row r="162" spans="1:10" s="44" customFormat="1" ht="15.75" customHeight="1">
      <c r="A162" s="90"/>
      <c r="B162" s="91"/>
      <c r="C162" s="91" t="s">
        <v>208</v>
      </c>
      <c r="D162" s="91" t="s">
        <v>209</v>
      </c>
      <c r="E162" s="91"/>
      <c r="F162" s="97"/>
      <c r="G162" s="92">
        <v>310500</v>
      </c>
      <c r="H162" s="92">
        <v>310500</v>
      </c>
      <c r="I162" s="92">
        <v>151653</v>
      </c>
      <c r="J162" s="268">
        <f t="shared" si="8"/>
        <v>0.48841545893719807</v>
      </c>
    </row>
    <row r="163" spans="1:10" s="44" customFormat="1" ht="15.75" customHeight="1">
      <c r="A163" s="90"/>
      <c r="B163" s="91"/>
      <c r="C163" s="91"/>
      <c r="D163" s="91"/>
      <c r="E163" s="91"/>
      <c r="F163" s="97"/>
      <c r="G163" s="92"/>
      <c r="H163" s="158"/>
      <c r="I163" s="158"/>
      <c r="J163" s="158"/>
    </row>
    <row r="164" spans="1:10" s="44" customFormat="1" ht="15.75" customHeight="1">
      <c r="A164" s="84" t="s">
        <v>110</v>
      </c>
      <c r="B164" s="104"/>
      <c r="C164" s="104"/>
      <c r="D164" s="104"/>
      <c r="E164" s="105"/>
      <c r="F164" s="114">
        <v>1</v>
      </c>
      <c r="G164" s="86">
        <f>G165+G171+G174</f>
        <v>6845802</v>
      </c>
      <c r="H164" s="86">
        <f>H165+H171+H174</f>
        <v>7976298</v>
      </c>
      <c r="I164" s="86">
        <f>I165+I171+I174</f>
        <v>5915025</v>
      </c>
      <c r="J164" s="269">
        <f>I164/H164</f>
        <v>0.7415752270038055</v>
      </c>
    </row>
    <row r="165" spans="1:10" s="44" customFormat="1" ht="15.75" customHeight="1">
      <c r="A165" s="87" t="s">
        <v>23</v>
      </c>
      <c r="B165" s="88"/>
      <c r="C165" s="88" t="s">
        <v>158</v>
      </c>
      <c r="D165" s="88"/>
      <c r="E165" s="88"/>
      <c r="F165" s="97"/>
      <c r="G165" s="89">
        <f>G166</f>
        <v>4168640</v>
      </c>
      <c r="H165" s="89">
        <f>H166</f>
        <v>4800440</v>
      </c>
      <c r="I165" s="89">
        <f>I166</f>
        <v>3792040</v>
      </c>
      <c r="J165" s="267">
        <f aca="true" t="shared" si="9" ref="J165:J190">I165/H165</f>
        <v>0.7899359225404338</v>
      </c>
    </row>
    <row r="166" spans="1:10" s="44" customFormat="1" ht="15.75" customHeight="1">
      <c r="A166" s="90"/>
      <c r="B166" s="88" t="s">
        <v>159</v>
      </c>
      <c r="C166" s="91"/>
      <c r="D166" s="91" t="s">
        <v>160</v>
      </c>
      <c r="E166" s="91"/>
      <c r="F166" s="97"/>
      <c r="G166" s="92">
        <f>SUM(G167:G170)</f>
        <v>4168640</v>
      </c>
      <c r="H166" s="92">
        <f>SUM(H167:H170)</f>
        <v>4800440</v>
      </c>
      <c r="I166" s="92">
        <f>SUM(I167:I170)</f>
        <v>3792040</v>
      </c>
      <c r="J166" s="268">
        <f t="shared" si="9"/>
        <v>0.7899359225404338</v>
      </c>
    </row>
    <row r="167" spans="1:10" s="44" customFormat="1" ht="15.75" customHeight="1">
      <c r="A167" s="81"/>
      <c r="B167" s="91"/>
      <c r="C167" s="91" t="s">
        <v>161</v>
      </c>
      <c r="D167" s="91" t="s">
        <v>162</v>
      </c>
      <c r="E167" s="91"/>
      <c r="F167" s="97"/>
      <c r="G167" s="92">
        <f>3432000*1.02</f>
        <v>3500640</v>
      </c>
      <c r="H167" s="92">
        <f>3432000*1.02+631800</f>
        <v>4132440</v>
      </c>
      <c r="I167" s="92">
        <v>3413880</v>
      </c>
      <c r="J167" s="268">
        <f t="shared" si="9"/>
        <v>0.8261172576008363</v>
      </c>
    </row>
    <row r="168" spans="1:10" s="44" customFormat="1" ht="15.75" customHeight="1">
      <c r="A168" s="81"/>
      <c r="B168" s="91"/>
      <c r="C168" s="91" t="s">
        <v>332</v>
      </c>
      <c r="D168" s="91" t="s">
        <v>343</v>
      </c>
      <c r="E168" s="91"/>
      <c r="F168" s="97"/>
      <c r="G168" s="92">
        <v>117000</v>
      </c>
      <c r="H168" s="92">
        <v>117000</v>
      </c>
      <c r="I168" s="92">
        <v>116900</v>
      </c>
      <c r="J168" s="268">
        <f t="shared" si="9"/>
        <v>0.9991452991452991</v>
      </c>
    </row>
    <row r="169" spans="1:10" s="44" customFormat="1" ht="15.75" customHeight="1">
      <c r="A169" s="81"/>
      <c r="B169" s="91"/>
      <c r="C169" s="91" t="s">
        <v>357</v>
      </c>
      <c r="D169" s="91" t="s">
        <v>358</v>
      </c>
      <c r="E169" s="91"/>
      <c r="F169" s="97"/>
      <c r="G169" s="92">
        <v>400000</v>
      </c>
      <c r="H169" s="92">
        <v>400000</v>
      </c>
      <c r="I169" s="92">
        <v>110317</v>
      </c>
      <c r="J169" s="268">
        <f t="shared" si="9"/>
        <v>0.2757925</v>
      </c>
    </row>
    <row r="170" spans="1:10" s="44" customFormat="1" ht="15.75" customHeight="1">
      <c r="A170" s="90"/>
      <c r="B170" s="91"/>
      <c r="C170" s="91" t="s">
        <v>163</v>
      </c>
      <c r="D170" s="91" t="s">
        <v>164</v>
      </c>
      <c r="E170" s="91"/>
      <c r="F170" s="97"/>
      <c r="G170" s="92">
        <v>151000</v>
      </c>
      <c r="H170" s="92">
        <v>151000</v>
      </c>
      <c r="I170" s="92">
        <v>150943</v>
      </c>
      <c r="J170" s="268">
        <f t="shared" si="9"/>
        <v>0.9996225165562914</v>
      </c>
    </row>
    <row r="171" spans="1:10" s="44" customFormat="1" ht="15.75" customHeight="1">
      <c r="A171" s="87" t="s">
        <v>25</v>
      </c>
      <c r="B171" s="88"/>
      <c r="C171" s="88" t="s">
        <v>175</v>
      </c>
      <c r="D171" s="95"/>
      <c r="E171" s="95"/>
      <c r="F171" s="97"/>
      <c r="G171" s="89">
        <f>SUM(G172:G173)</f>
        <v>752162</v>
      </c>
      <c r="H171" s="89">
        <f>SUM(H172:H173)</f>
        <v>862727</v>
      </c>
      <c r="I171" s="89">
        <f>SUM(I172:I173)</f>
        <v>547810</v>
      </c>
      <c r="J171" s="267">
        <f t="shared" si="9"/>
        <v>0.6349749109509729</v>
      </c>
    </row>
    <row r="172" spans="1:10" s="44" customFormat="1" ht="15.75" customHeight="1">
      <c r="A172" s="90"/>
      <c r="B172" s="91"/>
      <c r="C172" s="91"/>
      <c r="D172" s="93" t="s">
        <v>176</v>
      </c>
      <c r="E172" s="91"/>
      <c r="F172" s="97"/>
      <c r="G172" s="92">
        <f>G166*0.175</f>
        <v>729512</v>
      </c>
      <c r="H172" s="92">
        <v>840077</v>
      </c>
      <c r="I172" s="92">
        <v>525169</v>
      </c>
      <c r="J172" s="268">
        <f t="shared" si="9"/>
        <v>0.6251438856200087</v>
      </c>
    </row>
    <row r="173" spans="1:10" s="44" customFormat="1" ht="15.75" customHeight="1">
      <c r="A173" s="90"/>
      <c r="B173" s="91"/>
      <c r="C173" s="91"/>
      <c r="D173" s="93" t="s">
        <v>177</v>
      </c>
      <c r="E173" s="91"/>
      <c r="F173" s="97"/>
      <c r="G173" s="92">
        <f>G170*0.15</f>
        <v>22650</v>
      </c>
      <c r="H173" s="92">
        <v>22650</v>
      </c>
      <c r="I173" s="92">
        <v>22641</v>
      </c>
      <c r="J173" s="268">
        <f t="shared" si="9"/>
        <v>0.9996026490066225</v>
      </c>
    </row>
    <row r="174" spans="1:10" s="44" customFormat="1" ht="15.75" customHeight="1">
      <c r="A174" s="87" t="s">
        <v>27</v>
      </c>
      <c r="B174" s="88"/>
      <c r="C174" s="88" t="s">
        <v>28</v>
      </c>
      <c r="D174" s="88"/>
      <c r="E174" s="88"/>
      <c r="F174" s="93"/>
      <c r="G174" s="89">
        <f>G175+G179+G182+G189+G186</f>
        <v>1925000</v>
      </c>
      <c r="H174" s="89">
        <f>H175+H179+H182+H189+H186</f>
        <v>2313131</v>
      </c>
      <c r="I174" s="89">
        <f>I175+I179+I182+I189+I186</f>
        <v>1575175</v>
      </c>
      <c r="J174" s="267">
        <f t="shared" si="9"/>
        <v>0.6809709437122238</v>
      </c>
    </row>
    <row r="175" spans="1:10" s="44" customFormat="1" ht="15.75" customHeight="1">
      <c r="A175" s="97"/>
      <c r="B175" s="88" t="s">
        <v>178</v>
      </c>
      <c r="C175" s="98"/>
      <c r="D175" s="88" t="s">
        <v>179</v>
      </c>
      <c r="E175" s="99"/>
      <c r="F175" s="93"/>
      <c r="G175" s="89">
        <f>G176+G177+G178</f>
        <v>650000</v>
      </c>
      <c r="H175" s="89">
        <f>H176+H177+H178</f>
        <v>1028131</v>
      </c>
      <c r="I175" s="89">
        <f>I176+I177+I178</f>
        <v>697328</v>
      </c>
      <c r="J175" s="267">
        <f t="shared" si="9"/>
        <v>0.6782481998889247</v>
      </c>
    </row>
    <row r="176" spans="1:10" s="44" customFormat="1" ht="15.75" customHeight="1">
      <c r="A176" s="90"/>
      <c r="B176" s="91"/>
      <c r="C176" s="91" t="s">
        <v>180</v>
      </c>
      <c r="D176" s="91" t="s">
        <v>181</v>
      </c>
      <c r="E176" s="97"/>
      <c r="F176" s="93"/>
      <c r="G176" s="92">
        <v>100000</v>
      </c>
      <c r="H176" s="92">
        <v>0</v>
      </c>
      <c r="I176" s="92">
        <v>0</v>
      </c>
      <c r="J176" s="268"/>
    </row>
    <row r="177" spans="1:10" s="44" customFormat="1" ht="15.75" customHeight="1">
      <c r="A177" s="90"/>
      <c r="B177" s="91"/>
      <c r="C177" s="91" t="s">
        <v>183</v>
      </c>
      <c r="D177" s="91" t="s">
        <v>184</v>
      </c>
      <c r="E177" s="91"/>
      <c r="F177" s="93"/>
      <c r="G177" s="92">
        <v>250000</v>
      </c>
      <c r="H177" s="92">
        <v>250000</v>
      </c>
      <c r="I177" s="92">
        <v>9197</v>
      </c>
      <c r="J177" s="268">
        <f t="shared" si="9"/>
        <v>0.036788</v>
      </c>
    </row>
    <row r="178" spans="1:10" s="44" customFormat="1" ht="15.75" customHeight="1">
      <c r="A178" s="87"/>
      <c r="B178" s="88"/>
      <c r="C178" s="91" t="s">
        <v>251</v>
      </c>
      <c r="D178" s="91" t="s">
        <v>252</v>
      </c>
      <c r="E178" s="91"/>
      <c r="F178" s="97"/>
      <c r="G178" s="100">
        <v>300000</v>
      </c>
      <c r="H178" s="100">
        <v>778131</v>
      </c>
      <c r="I178" s="100">
        <v>688131</v>
      </c>
      <c r="J178" s="268">
        <f t="shared" si="9"/>
        <v>0.8843382412472964</v>
      </c>
    </row>
    <row r="179" spans="1:10" s="51" customFormat="1" ht="15.75" customHeight="1">
      <c r="A179" s="97"/>
      <c r="B179" s="88" t="s">
        <v>186</v>
      </c>
      <c r="C179" s="98"/>
      <c r="D179" s="88" t="s">
        <v>187</v>
      </c>
      <c r="E179" s="98"/>
      <c r="F179" s="99"/>
      <c r="G179" s="89">
        <f>G180+G181</f>
        <v>190000</v>
      </c>
      <c r="H179" s="89">
        <f>H180+H181</f>
        <v>190000</v>
      </c>
      <c r="I179" s="89">
        <f>I180+I181</f>
        <v>73341</v>
      </c>
      <c r="J179" s="267">
        <f t="shared" si="9"/>
        <v>0.38600526315789474</v>
      </c>
    </row>
    <row r="180" spans="1:10" s="44" customFormat="1" ht="15.75" customHeight="1">
      <c r="A180" s="90"/>
      <c r="B180" s="91"/>
      <c r="C180" s="91" t="s">
        <v>188</v>
      </c>
      <c r="D180" s="91" t="s">
        <v>189</v>
      </c>
      <c r="E180" s="91"/>
      <c r="F180" s="97"/>
      <c r="G180" s="92">
        <v>90000</v>
      </c>
      <c r="H180" s="92">
        <v>90000</v>
      </c>
      <c r="I180" s="92">
        <v>69703</v>
      </c>
      <c r="J180" s="268">
        <f t="shared" si="9"/>
        <v>0.7744777777777778</v>
      </c>
    </row>
    <row r="181" spans="1:10" s="44" customFormat="1" ht="15.75" customHeight="1">
      <c r="A181" s="90"/>
      <c r="B181" s="91"/>
      <c r="C181" s="91" t="s">
        <v>190</v>
      </c>
      <c r="D181" s="91" t="s">
        <v>191</v>
      </c>
      <c r="E181" s="91"/>
      <c r="F181" s="97"/>
      <c r="G181" s="92">
        <v>100000</v>
      </c>
      <c r="H181" s="92">
        <v>100000</v>
      </c>
      <c r="I181" s="92">
        <v>3638</v>
      </c>
      <c r="J181" s="268">
        <f t="shared" si="9"/>
        <v>0.03638</v>
      </c>
    </row>
    <row r="182" spans="1:10" s="44" customFormat="1" ht="15.75" customHeight="1">
      <c r="A182" s="97"/>
      <c r="B182" s="88" t="s">
        <v>192</v>
      </c>
      <c r="C182" s="98"/>
      <c r="D182" s="88" t="s">
        <v>193</v>
      </c>
      <c r="E182" s="98"/>
      <c r="F182" s="97"/>
      <c r="G182" s="89">
        <f>G183+G184+G185</f>
        <v>435000</v>
      </c>
      <c r="H182" s="89">
        <f>H183+H184+H185</f>
        <v>445000</v>
      </c>
      <c r="I182" s="89">
        <f>I183+I184+I185</f>
        <v>306895</v>
      </c>
      <c r="J182" s="267">
        <f t="shared" si="9"/>
        <v>0.6896516853932584</v>
      </c>
    </row>
    <row r="183" spans="1:10" s="44" customFormat="1" ht="15.75" customHeight="1">
      <c r="A183" s="90"/>
      <c r="B183" s="91"/>
      <c r="C183" s="91" t="s">
        <v>194</v>
      </c>
      <c r="D183" s="91" t="s">
        <v>195</v>
      </c>
      <c r="E183" s="91"/>
      <c r="F183" s="97"/>
      <c r="G183" s="92">
        <v>200000</v>
      </c>
      <c r="H183" s="92">
        <v>200000</v>
      </c>
      <c r="I183" s="92">
        <v>102411</v>
      </c>
      <c r="J183" s="268">
        <f t="shared" si="9"/>
        <v>0.512055</v>
      </c>
    </row>
    <row r="184" spans="1:10" s="44" customFormat="1" ht="15.75" customHeight="1">
      <c r="A184" s="90"/>
      <c r="B184" s="91"/>
      <c r="C184" s="91" t="s">
        <v>198</v>
      </c>
      <c r="D184" s="91" t="s">
        <v>199</v>
      </c>
      <c r="E184" s="91"/>
      <c r="F184" s="97"/>
      <c r="G184" s="92">
        <v>35000</v>
      </c>
      <c r="H184" s="92">
        <v>35000</v>
      </c>
      <c r="I184" s="92">
        <v>1600</v>
      </c>
      <c r="J184" s="268">
        <f t="shared" si="9"/>
        <v>0.045714285714285714</v>
      </c>
    </row>
    <row r="185" spans="1:10" s="44" customFormat="1" ht="15.75" customHeight="1">
      <c r="A185" s="90"/>
      <c r="B185" s="91"/>
      <c r="C185" s="91" t="s">
        <v>200</v>
      </c>
      <c r="D185" s="91" t="s">
        <v>201</v>
      </c>
      <c r="E185" s="91"/>
      <c r="F185" s="97"/>
      <c r="G185" s="92">
        <v>200000</v>
      </c>
      <c r="H185" s="92">
        <v>210000</v>
      </c>
      <c r="I185" s="92">
        <v>202884</v>
      </c>
      <c r="J185" s="268">
        <f t="shared" si="9"/>
        <v>0.9661142857142857</v>
      </c>
    </row>
    <row r="186" spans="1:10" s="44" customFormat="1" ht="15.75" customHeight="1">
      <c r="A186" s="97"/>
      <c r="B186" s="88" t="s">
        <v>202</v>
      </c>
      <c r="C186" s="98"/>
      <c r="D186" s="88" t="s">
        <v>203</v>
      </c>
      <c r="E186" s="98"/>
      <c r="F186" s="97"/>
      <c r="G186" s="89">
        <f>G187+G188</f>
        <v>350000</v>
      </c>
      <c r="H186" s="89">
        <f>H187+H188</f>
        <v>350000</v>
      </c>
      <c r="I186" s="89">
        <f>I187+I188</f>
        <v>291421</v>
      </c>
      <c r="J186" s="267">
        <f t="shared" si="9"/>
        <v>0.8326314285714286</v>
      </c>
    </row>
    <row r="187" spans="1:10" s="44" customFormat="1" ht="15.75" customHeight="1">
      <c r="A187" s="90"/>
      <c r="B187" s="91"/>
      <c r="C187" s="91" t="s">
        <v>204</v>
      </c>
      <c r="D187" s="91" t="s">
        <v>205</v>
      </c>
      <c r="E187" s="91"/>
      <c r="F187" s="97"/>
      <c r="G187" s="92">
        <v>50000</v>
      </c>
      <c r="H187" s="92">
        <v>50000</v>
      </c>
      <c r="I187" s="92">
        <v>36605</v>
      </c>
      <c r="J187" s="268">
        <f t="shared" si="9"/>
        <v>0.7321</v>
      </c>
    </row>
    <row r="188" spans="1:10" s="44" customFormat="1" ht="15.75" customHeight="1">
      <c r="A188" s="90"/>
      <c r="B188" s="91"/>
      <c r="C188" s="91" t="s">
        <v>253</v>
      </c>
      <c r="D188" s="91" t="s">
        <v>254</v>
      </c>
      <c r="E188" s="91"/>
      <c r="F188" s="97"/>
      <c r="G188" s="92">
        <v>300000</v>
      </c>
      <c r="H188" s="92">
        <v>300000</v>
      </c>
      <c r="I188" s="92">
        <v>254816</v>
      </c>
      <c r="J188" s="268">
        <f t="shared" si="9"/>
        <v>0.8493866666666666</v>
      </c>
    </row>
    <row r="189" spans="1:10" s="44" customFormat="1" ht="15.75" customHeight="1">
      <c r="A189" s="97"/>
      <c r="B189" s="88" t="s">
        <v>206</v>
      </c>
      <c r="C189" s="98"/>
      <c r="D189" s="88" t="s">
        <v>207</v>
      </c>
      <c r="E189" s="98"/>
      <c r="F189" s="97"/>
      <c r="G189" s="89">
        <f>SUM(G190)</f>
        <v>300000</v>
      </c>
      <c r="H189" s="89">
        <f>SUM(H190)</f>
        <v>300000</v>
      </c>
      <c r="I189" s="89">
        <f>SUM(I190)</f>
        <v>206190</v>
      </c>
      <c r="J189" s="267">
        <f t="shared" si="9"/>
        <v>0.6873</v>
      </c>
    </row>
    <row r="190" spans="1:10" s="44" customFormat="1" ht="15.75" customHeight="1">
      <c r="A190" s="90"/>
      <c r="B190" s="91"/>
      <c r="C190" s="91" t="s">
        <v>208</v>
      </c>
      <c r="D190" s="91" t="s">
        <v>209</v>
      </c>
      <c r="E190" s="91"/>
      <c r="F190" s="97"/>
      <c r="G190" s="100">
        <v>300000</v>
      </c>
      <c r="H190" s="100">
        <v>300000</v>
      </c>
      <c r="I190" s="100">
        <v>206190</v>
      </c>
      <c r="J190" s="268">
        <f t="shared" si="9"/>
        <v>0.6873</v>
      </c>
    </row>
    <row r="191" spans="1:10" s="44" customFormat="1" ht="15.75" customHeight="1">
      <c r="A191" s="90"/>
      <c r="B191" s="91"/>
      <c r="C191" s="91"/>
      <c r="D191" s="91"/>
      <c r="E191" s="97"/>
      <c r="F191" s="97"/>
      <c r="G191" s="92"/>
      <c r="H191" s="158"/>
      <c r="I191" s="158"/>
      <c r="J191" s="158"/>
    </row>
    <row r="192" spans="1:10" ht="15.75" customHeight="1">
      <c r="A192" s="84" t="s">
        <v>255</v>
      </c>
      <c r="B192" s="104"/>
      <c r="C192" s="104"/>
      <c r="D192" s="104"/>
      <c r="E192" s="104"/>
      <c r="F192" s="104"/>
      <c r="G192" s="86">
        <f aca="true" t="shared" si="10" ref="G192:I193">G193</f>
        <v>2000000</v>
      </c>
      <c r="H192" s="86">
        <f t="shared" si="10"/>
        <v>0</v>
      </c>
      <c r="I192" s="86">
        <f t="shared" si="10"/>
        <v>0</v>
      </c>
      <c r="J192" s="266"/>
    </row>
    <row r="193" spans="1:10" ht="15.75" customHeight="1">
      <c r="A193" s="87" t="s">
        <v>38</v>
      </c>
      <c r="B193" s="88"/>
      <c r="C193" s="88" t="s">
        <v>39</v>
      </c>
      <c r="D193" s="88"/>
      <c r="E193" s="88"/>
      <c r="F193" s="91"/>
      <c r="G193" s="89">
        <f t="shared" si="10"/>
        <v>2000000</v>
      </c>
      <c r="H193" s="89">
        <f t="shared" si="10"/>
        <v>0</v>
      </c>
      <c r="I193" s="89">
        <f t="shared" si="10"/>
        <v>0</v>
      </c>
      <c r="J193" s="89"/>
    </row>
    <row r="194" spans="1:10" ht="15.75" customHeight="1">
      <c r="A194" s="90"/>
      <c r="B194" s="91" t="s">
        <v>256</v>
      </c>
      <c r="C194" s="91"/>
      <c r="D194" s="91" t="s">
        <v>257</v>
      </c>
      <c r="E194" s="91"/>
      <c r="F194" s="91"/>
      <c r="G194" s="92">
        <v>2000000</v>
      </c>
      <c r="H194" s="92">
        <v>0</v>
      </c>
      <c r="I194" s="92">
        <v>0</v>
      </c>
      <c r="J194" s="92"/>
    </row>
    <row r="195" spans="1:10" ht="15.75" customHeight="1">
      <c r="A195" s="90"/>
      <c r="B195" s="91"/>
      <c r="C195" s="91"/>
      <c r="D195" s="91"/>
      <c r="E195" s="91"/>
      <c r="F195" s="91"/>
      <c r="G195" s="92"/>
      <c r="H195" s="81"/>
      <c r="I195" s="81"/>
      <c r="J195" s="81"/>
    </row>
    <row r="196" spans="1:10" ht="15.75" customHeight="1">
      <c r="A196" s="84" t="s">
        <v>359</v>
      </c>
      <c r="B196" s="104"/>
      <c r="C196" s="104"/>
      <c r="D196" s="104"/>
      <c r="E196" s="104"/>
      <c r="F196" s="104"/>
      <c r="G196" s="86">
        <f>G197</f>
        <v>8104078</v>
      </c>
      <c r="H196" s="86">
        <f>H197+H201</f>
        <v>16876653</v>
      </c>
      <c r="I196" s="86">
        <f>I197+I201</f>
        <v>16846174</v>
      </c>
      <c r="J196" s="269">
        <f>I196/H196</f>
        <v>0.9981940139434046</v>
      </c>
    </row>
    <row r="197" spans="1:10" ht="15.75" customHeight="1">
      <c r="A197" s="101" t="s">
        <v>34</v>
      </c>
      <c r="B197" s="91"/>
      <c r="C197" s="88" t="s">
        <v>35</v>
      </c>
      <c r="D197" s="91"/>
      <c r="E197" s="91"/>
      <c r="F197" s="91"/>
      <c r="G197" s="89">
        <f>SUM(G198:G200)</f>
        <v>8104078</v>
      </c>
      <c r="H197" s="89">
        <f>SUM(H198:H200)</f>
        <v>8104078</v>
      </c>
      <c r="I197" s="89">
        <f>SUM(I198:I200)</f>
        <v>8104078</v>
      </c>
      <c r="J197" s="267">
        <f aca="true" t="shared" si="11" ref="J197:J202">I197/H197</f>
        <v>1</v>
      </c>
    </row>
    <row r="198" spans="1:10" ht="15.75" customHeight="1">
      <c r="A198" s="101"/>
      <c r="B198" s="88" t="s">
        <v>236</v>
      </c>
      <c r="C198" s="88"/>
      <c r="D198" s="91" t="s">
        <v>362</v>
      </c>
      <c r="E198" s="91"/>
      <c r="F198" s="91"/>
      <c r="G198" s="92">
        <v>2758158</v>
      </c>
      <c r="H198" s="92">
        <v>2758158</v>
      </c>
      <c r="I198" s="92">
        <v>2758164</v>
      </c>
      <c r="J198" s="268">
        <f t="shared" si="11"/>
        <v>1.0000021753648631</v>
      </c>
    </row>
    <row r="199" spans="1:10" ht="15.75" customHeight="1">
      <c r="A199" s="90"/>
      <c r="B199" s="88" t="s">
        <v>340</v>
      </c>
      <c r="C199" s="91"/>
      <c r="D199" s="91" t="s">
        <v>360</v>
      </c>
      <c r="E199" s="91"/>
      <c r="F199" s="91"/>
      <c r="G199" s="92">
        <v>3623000</v>
      </c>
      <c r="H199" s="92">
        <v>3623000</v>
      </c>
      <c r="I199" s="92">
        <v>3623000</v>
      </c>
      <c r="J199" s="268">
        <f t="shared" si="11"/>
        <v>1</v>
      </c>
    </row>
    <row r="200" spans="1:10" ht="15.75" customHeight="1">
      <c r="A200" s="90"/>
      <c r="B200" s="88" t="s">
        <v>237</v>
      </c>
      <c r="C200" s="91"/>
      <c r="D200" s="91" t="s">
        <v>238</v>
      </c>
      <c r="E200" s="91"/>
      <c r="F200" s="91"/>
      <c r="G200" s="92">
        <f>978210+744710</f>
        <v>1722920</v>
      </c>
      <c r="H200" s="92">
        <f>978210+744710</f>
        <v>1722920</v>
      </c>
      <c r="I200" s="92">
        <v>1722914</v>
      </c>
      <c r="J200" s="268">
        <f t="shared" si="11"/>
        <v>0.9999965175399903</v>
      </c>
    </row>
    <row r="201" spans="1:10" ht="15.75" customHeight="1">
      <c r="A201" s="113" t="s">
        <v>36</v>
      </c>
      <c r="B201" s="113"/>
      <c r="C201" s="113" t="s">
        <v>37</v>
      </c>
      <c r="D201" s="81"/>
      <c r="E201" s="81"/>
      <c r="F201" s="91"/>
      <c r="G201" s="92"/>
      <c r="H201" s="89">
        <f>SUM(H202:H203)</f>
        <v>8772575</v>
      </c>
      <c r="I201" s="89">
        <f>SUM(I202:I203)</f>
        <v>8742096</v>
      </c>
      <c r="J201" s="267">
        <f t="shared" si="11"/>
        <v>0.9965256495384764</v>
      </c>
    </row>
    <row r="202" spans="1:10" ht="15.75" customHeight="1">
      <c r="A202" s="81"/>
      <c r="B202" s="113" t="s">
        <v>247</v>
      </c>
      <c r="C202" s="81"/>
      <c r="D202" s="81" t="s">
        <v>421</v>
      </c>
      <c r="E202" s="81"/>
      <c r="F202" s="91"/>
      <c r="G202" s="92"/>
      <c r="H202" s="92">
        <v>6888256</v>
      </c>
      <c r="I202" s="92">
        <v>6883540</v>
      </c>
      <c r="J202" s="268">
        <f t="shared" si="11"/>
        <v>0.9993153564559738</v>
      </c>
    </row>
    <row r="203" spans="1:10" ht="15.75" customHeight="1">
      <c r="A203" s="81"/>
      <c r="B203" s="113" t="s">
        <v>249</v>
      </c>
      <c r="C203" s="81"/>
      <c r="D203" s="81" t="s">
        <v>250</v>
      </c>
      <c r="E203" s="81"/>
      <c r="F203" s="91"/>
      <c r="G203" s="92"/>
      <c r="H203" s="92">
        <f>1784319+100000</f>
        <v>1884319</v>
      </c>
      <c r="I203" s="92">
        <v>1858556</v>
      </c>
      <c r="J203" s="268">
        <f>I203/H203</f>
        <v>0.9863276865541344</v>
      </c>
    </row>
    <row r="204" spans="1:10" ht="15.75" customHeight="1">
      <c r="A204" s="90"/>
      <c r="B204" s="91"/>
      <c r="C204" s="91"/>
      <c r="D204" s="91"/>
      <c r="E204" s="91"/>
      <c r="F204" s="91"/>
      <c r="G204" s="92"/>
      <c r="H204" s="81"/>
      <c r="I204" s="81"/>
      <c r="J204" s="81"/>
    </row>
    <row r="205" spans="1:10" s="44" customFormat="1" ht="15.75" customHeight="1">
      <c r="A205" s="84" t="s">
        <v>258</v>
      </c>
      <c r="B205" s="104"/>
      <c r="C205" s="104"/>
      <c r="D205" s="104"/>
      <c r="E205" s="104"/>
      <c r="F205" s="104"/>
      <c r="G205" s="86">
        <f>SUM(G206)</f>
        <v>17780000</v>
      </c>
      <c r="H205" s="86">
        <f>SUM(H206)</f>
        <v>13970000</v>
      </c>
      <c r="I205" s="86">
        <f>SUM(I206)</f>
        <v>13232254</v>
      </c>
      <c r="J205" s="269">
        <f>I205/H205</f>
        <v>0.947190694345025</v>
      </c>
    </row>
    <row r="206" spans="1:10" s="44" customFormat="1" ht="15.75" customHeight="1">
      <c r="A206" s="87" t="s">
        <v>27</v>
      </c>
      <c r="B206" s="88"/>
      <c r="C206" s="88" t="s">
        <v>28</v>
      </c>
      <c r="D206" s="88"/>
      <c r="E206" s="88"/>
      <c r="F206" s="97"/>
      <c r="G206" s="116">
        <f>G207+G210</f>
        <v>17780000</v>
      </c>
      <c r="H206" s="116">
        <f>H207+H210</f>
        <v>13970000</v>
      </c>
      <c r="I206" s="116">
        <f>I207+I210</f>
        <v>13232254</v>
      </c>
      <c r="J206" s="267">
        <f>I206/H206</f>
        <v>0.947190694345025</v>
      </c>
    </row>
    <row r="207" spans="1:10" s="44" customFormat="1" ht="15.75" customHeight="1">
      <c r="A207" s="97"/>
      <c r="B207" s="88" t="s">
        <v>192</v>
      </c>
      <c r="C207" s="98"/>
      <c r="D207" s="88" t="s">
        <v>193</v>
      </c>
      <c r="E207" s="98"/>
      <c r="F207" s="97"/>
      <c r="G207" s="89">
        <f>G208+G209</f>
        <v>14000000</v>
      </c>
      <c r="H207" s="89">
        <f>H208+H209</f>
        <v>11000000</v>
      </c>
      <c r="I207" s="89">
        <f>I208+I209</f>
        <v>10558437</v>
      </c>
      <c r="J207" s="267">
        <f>I207/H207</f>
        <v>0.9598579090909091</v>
      </c>
    </row>
    <row r="208" spans="1:10" s="44" customFormat="1" ht="15.75" customHeight="1">
      <c r="A208" s="90"/>
      <c r="B208" s="91"/>
      <c r="C208" s="91" t="s">
        <v>194</v>
      </c>
      <c r="D208" s="91" t="s">
        <v>195</v>
      </c>
      <c r="E208" s="91"/>
      <c r="F208" s="97"/>
      <c r="G208" s="115">
        <v>10000000</v>
      </c>
      <c r="H208" s="115">
        <v>11000000</v>
      </c>
      <c r="I208" s="115">
        <v>10558437</v>
      </c>
      <c r="J208" s="268">
        <f>I208/H208</f>
        <v>0.9598579090909091</v>
      </c>
    </row>
    <row r="209" spans="1:10" ht="15.75" customHeight="1">
      <c r="A209" s="90"/>
      <c r="B209" s="91"/>
      <c r="C209" s="91" t="s">
        <v>198</v>
      </c>
      <c r="D209" s="91" t="s">
        <v>199</v>
      </c>
      <c r="E209" s="91"/>
      <c r="F209" s="91"/>
      <c r="G209" s="117">
        <v>4000000</v>
      </c>
      <c r="H209" s="117">
        <v>0</v>
      </c>
      <c r="I209" s="117">
        <v>0</v>
      </c>
      <c r="J209" s="268"/>
    </row>
    <row r="210" spans="1:10" ht="15.75" customHeight="1">
      <c r="A210" s="97"/>
      <c r="B210" s="88" t="s">
        <v>206</v>
      </c>
      <c r="C210" s="98"/>
      <c r="D210" s="88" t="s">
        <v>207</v>
      </c>
      <c r="E210" s="98"/>
      <c r="F210" s="91"/>
      <c r="G210" s="118">
        <f>G211</f>
        <v>3780000</v>
      </c>
      <c r="H210" s="118">
        <f>H211</f>
        <v>2970000</v>
      </c>
      <c r="I210" s="118">
        <f>I211</f>
        <v>2673817</v>
      </c>
      <c r="J210" s="267">
        <f>I210/H210</f>
        <v>0.9002750841750842</v>
      </c>
    </row>
    <row r="211" spans="1:10" ht="15.75" customHeight="1">
      <c r="A211" s="90"/>
      <c r="B211" s="91"/>
      <c r="C211" s="91" t="s">
        <v>208</v>
      </c>
      <c r="D211" s="91" t="s">
        <v>209</v>
      </c>
      <c r="E211" s="91"/>
      <c r="F211" s="91"/>
      <c r="G211" s="119">
        <v>3780000</v>
      </c>
      <c r="H211" s="119">
        <v>2970000</v>
      </c>
      <c r="I211" s="119">
        <v>2673817</v>
      </c>
      <c r="J211" s="268">
        <f>I211/H211</f>
        <v>0.9002750841750842</v>
      </c>
    </row>
    <row r="212" spans="1:10" ht="15.75" customHeight="1">
      <c r="A212" s="90"/>
      <c r="B212" s="91"/>
      <c r="C212" s="91"/>
      <c r="D212" s="91"/>
      <c r="E212" s="93"/>
      <c r="F212" s="91"/>
      <c r="G212" s="120"/>
      <c r="H212" s="81"/>
      <c r="I212" s="81"/>
      <c r="J212" s="81"/>
    </row>
    <row r="213" spans="1:10" ht="15.75" customHeight="1">
      <c r="A213" s="84" t="s">
        <v>259</v>
      </c>
      <c r="B213" s="104"/>
      <c r="C213" s="104"/>
      <c r="D213" s="104"/>
      <c r="E213" s="104"/>
      <c r="F213" s="114">
        <v>1</v>
      </c>
      <c r="G213" s="107">
        <f>G214+G219+G222</f>
        <v>7603730.75</v>
      </c>
      <c r="H213" s="107">
        <f>H214+H219+H222</f>
        <v>7603731</v>
      </c>
      <c r="I213" s="107">
        <f>I214+I219+I222</f>
        <v>5919582</v>
      </c>
      <c r="J213" s="269">
        <f>I213/H213</f>
        <v>0.7785101813833235</v>
      </c>
    </row>
    <row r="214" spans="1:10" ht="15.75" customHeight="1">
      <c r="A214" s="87" t="s">
        <v>23</v>
      </c>
      <c r="B214" s="88"/>
      <c r="C214" s="88" t="s">
        <v>158</v>
      </c>
      <c r="D214" s="88"/>
      <c r="E214" s="88"/>
      <c r="F214" s="88"/>
      <c r="G214" s="110">
        <f>SUM(G215)</f>
        <v>2777090</v>
      </c>
      <c r="H214" s="110">
        <f>SUM(H215)</f>
        <v>2777090</v>
      </c>
      <c r="I214" s="110">
        <f>SUM(I215)</f>
        <v>2136157</v>
      </c>
      <c r="J214" s="267">
        <f aca="true" t="shared" si="12" ref="J214:J229">I214/H214</f>
        <v>0.7692069756471702</v>
      </c>
    </row>
    <row r="215" spans="1:10" ht="15.75" customHeight="1">
      <c r="A215" s="90"/>
      <c r="B215" s="88" t="s">
        <v>159</v>
      </c>
      <c r="C215" s="91"/>
      <c r="D215" s="91" t="s">
        <v>160</v>
      </c>
      <c r="E215" s="91"/>
      <c r="F215" s="88"/>
      <c r="G215" s="108">
        <f>SUM(G216:G218)</f>
        <v>2777090</v>
      </c>
      <c r="H215" s="108">
        <f>SUM(H216:H218)</f>
        <v>2777090</v>
      </c>
      <c r="I215" s="108">
        <f>SUM(I216:I218)</f>
        <v>2136157</v>
      </c>
      <c r="J215" s="268">
        <f t="shared" si="12"/>
        <v>0.7692069756471702</v>
      </c>
    </row>
    <row r="216" spans="1:10" ht="15.75" customHeight="1">
      <c r="A216" s="81"/>
      <c r="B216" s="91"/>
      <c r="C216" s="91" t="s">
        <v>161</v>
      </c>
      <c r="D216" s="91" t="s">
        <v>162</v>
      </c>
      <c r="E216" s="91"/>
      <c r="F216" s="88"/>
      <c r="G216" s="108">
        <f>2379500*1.02</f>
        <v>2427090</v>
      </c>
      <c r="H216" s="108">
        <f>2379500*1.02</f>
        <v>2427090</v>
      </c>
      <c r="I216" s="108">
        <v>2136157</v>
      </c>
      <c r="J216" s="268">
        <f t="shared" si="12"/>
        <v>0.880130938696134</v>
      </c>
    </row>
    <row r="217" spans="1:10" ht="15.75" customHeight="1">
      <c r="A217" s="81"/>
      <c r="B217" s="91"/>
      <c r="C217" s="91" t="s">
        <v>332</v>
      </c>
      <c r="D217" s="91" t="s">
        <v>343</v>
      </c>
      <c r="E217" s="91"/>
      <c r="F217" s="88"/>
      <c r="G217" s="108">
        <v>199000</v>
      </c>
      <c r="H217" s="108">
        <v>199000</v>
      </c>
      <c r="I217" s="108">
        <v>0</v>
      </c>
      <c r="J217" s="268">
        <f t="shared" si="12"/>
        <v>0</v>
      </c>
    </row>
    <row r="218" spans="1:10" ht="15.75" customHeight="1">
      <c r="A218" s="81"/>
      <c r="B218" s="91"/>
      <c r="C218" s="91" t="s">
        <v>163</v>
      </c>
      <c r="D218" s="91" t="s">
        <v>164</v>
      </c>
      <c r="E218" s="91"/>
      <c r="F218" s="88"/>
      <c r="G218" s="108">
        <v>151000</v>
      </c>
      <c r="H218" s="108">
        <v>151000</v>
      </c>
      <c r="I218" s="108">
        <v>0</v>
      </c>
      <c r="J218" s="268">
        <f t="shared" si="12"/>
        <v>0</v>
      </c>
    </row>
    <row r="219" spans="1:10" ht="15.75" customHeight="1">
      <c r="A219" s="87" t="s">
        <v>25</v>
      </c>
      <c r="B219" s="88"/>
      <c r="C219" s="88" t="s">
        <v>175</v>
      </c>
      <c r="D219" s="95"/>
      <c r="E219" s="95"/>
      <c r="F219" s="88"/>
      <c r="G219" s="110">
        <f>SUM(G220:G221)</f>
        <v>508640.74999999994</v>
      </c>
      <c r="H219" s="110">
        <f>SUM(H220:H221)</f>
        <v>508641</v>
      </c>
      <c r="I219" s="110">
        <f>SUM(I220:I221)</f>
        <v>356472</v>
      </c>
      <c r="J219" s="267">
        <f t="shared" si="12"/>
        <v>0.7008322176151746</v>
      </c>
    </row>
    <row r="220" spans="1:10" ht="15.75" customHeight="1">
      <c r="A220" s="90"/>
      <c r="B220" s="91"/>
      <c r="C220" s="91"/>
      <c r="D220" s="93" t="s">
        <v>176</v>
      </c>
      <c r="E220" s="91"/>
      <c r="F220" s="88"/>
      <c r="G220" s="108">
        <f>G215*0.175</f>
        <v>485990.74999999994</v>
      </c>
      <c r="H220" s="108">
        <v>485991</v>
      </c>
      <c r="I220" s="108">
        <v>356472</v>
      </c>
      <c r="J220" s="268">
        <f t="shared" si="12"/>
        <v>0.7334950647234209</v>
      </c>
    </row>
    <row r="221" spans="1:10" ht="15.75" customHeight="1">
      <c r="A221" s="90"/>
      <c r="B221" s="91"/>
      <c r="C221" s="91"/>
      <c r="D221" s="93" t="s">
        <v>177</v>
      </c>
      <c r="E221" s="91"/>
      <c r="F221" s="88"/>
      <c r="G221" s="108">
        <f>G218*0.15</f>
        <v>22650</v>
      </c>
      <c r="H221" s="108">
        <v>22650</v>
      </c>
      <c r="I221" s="108">
        <v>0</v>
      </c>
      <c r="J221" s="268">
        <f t="shared" si="12"/>
        <v>0</v>
      </c>
    </row>
    <row r="222" spans="1:10" ht="15.75" customHeight="1">
      <c r="A222" s="87" t="s">
        <v>27</v>
      </c>
      <c r="B222" s="88"/>
      <c r="C222" s="88" t="s">
        <v>28</v>
      </c>
      <c r="D222" s="88"/>
      <c r="E222" s="88"/>
      <c r="F222" s="91"/>
      <c r="G222" s="121">
        <f>G223+G226+G229</f>
        <v>4318000</v>
      </c>
      <c r="H222" s="121">
        <f>H223+H226+H229</f>
        <v>4318000</v>
      </c>
      <c r="I222" s="121">
        <f>I223+I226+I229</f>
        <v>3426953</v>
      </c>
      <c r="J222" s="267">
        <f t="shared" si="12"/>
        <v>0.7936435849930523</v>
      </c>
    </row>
    <row r="223" spans="1:10" ht="15.75" customHeight="1">
      <c r="A223" s="97"/>
      <c r="B223" s="88" t="s">
        <v>178</v>
      </c>
      <c r="C223" s="98"/>
      <c r="D223" s="88" t="s">
        <v>179</v>
      </c>
      <c r="E223" s="99"/>
      <c r="F223" s="91"/>
      <c r="G223" s="122">
        <f>G224+G225</f>
        <v>2250000</v>
      </c>
      <c r="H223" s="122">
        <f>H224+H225</f>
        <v>1650000</v>
      </c>
      <c r="I223" s="122">
        <f>I224+I225</f>
        <v>1260757</v>
      </c>
      <c r="J223" s="267">
        <f t="shared" si="12"/>
        <v>0.7640951515151515</v>
      </c>
    </row>
    <row r="224" spans="1:10" ht="15.75" customHeight="1">
      <c r="A224" s="90"/>
      <c r="B224" s="91"/>
      <c r="C224" s="91" t="s">
        <v>180</v>
      </c>
      <c r="D224" s="91" t="s">
        <v>181</v>
      </c>
      <c r="E224" s="97"/>
      <c r="F224" s="91"/>
      <c r="G224" s="123">
        <v>50000</v>
      </c>
      <c r="H224" s="123">
        <v>50000</v>
      </c>
      <c r="I224" s="123">
        <v>0</v>
      </c>
      <c r="J224" s="268">
        <f t="shared" si="12"/>
        <v>0</v>
      </c>
    </row>
    <row r="225" spans="1:10" ht="15.75" customHeight="1">
      <c r="A225" s="90"/>
      <c r="B225" s="91"/>
      <c r="C225" s="91" t="s">
        <v>183</v>
      </c>
      <c r="D225" s="91" t="s">
        <v>184</v>
      </c>
      <c r="E225" s="91"/>
      <c r="F225" s="91"/>
      <c r="G225" s="115">
        <v>2200000</v>
      </c>
      <c r="H225" s="115">
        <v>1600000</v>
      </c>
      <c r="I225" s="115">
        <v>1260757</v>
      </c>
      <c r="J225" s="268">
        <f t="shared" si="12"/>
        <v>0.787973125</v>
      </c>
    </row>
    <row r="226" spans="1:10" ht="15.75" customHeight="1">
      <c r="A226" s="97"/>
      <c r="B226" s="88" t="s">
        <v>192</v>
      </c>
      <c r="C226" s="98"/>
      <c r="D226" s="88" t="s">
        <v>193</v>
      </c>
      <c r="E226" s="98"/>
      <c r="F226" s="91"/>
      <c r="G226" s="121">
        <f>G227+G228</f>
        <v>1150000</v>
      </c>
      <c r="H226" s="121">
        <f>H227+H228</f>
        <v>1750000</v>
      </c>
      <c r="I226" s="121">
        <f>I227+I228</f>
        <v>1652822</v>
      </c>
      <c r="J226" s="267">
        <f t="shared" si="12"/>
        <v>0.9444697142857142</v>
      </c>
    </row>
    <row r="227" spans="1:10" ht="15.75" customHeight="1">
      <c r="A227" s="90"/>
      <c r="B227" s="91"/>
      <c r="C227" s="91" t="s">
        <v>198</v>
      </c>
      <c r="D227" s="91" t="s">
        <v>199</v>
      </c>
      <c r="E227" s="91"/>
      <c r="F227" s="91"/>
      <c r="G227" s="115">
        <v>150000</v>
      </c>
      <c r="H227" s="115">
        <v>150000</v>
      </c>
      <c r="I227" s="115">
        <v>126183</v>
      </c>
      <c r="J227" s="268">
        <f t="shared" si="12"/>
        <v>0.84122</v>
      </c>
    </row>
    <row r="228" spans="1:10" ht="15.75" customHeight="1">
      <c r="A228" s="90"/>
      <c r="B228" s="91"/>
      <c r="C228" s="91" t="s">
        <v>200</v>
      </c>
      <c r="D228" s="91" t="s">
        <v>201</v>
      </c>
      <c r="E228" s="91"/>
      <c r="F228" s="91"/>
      <c r="G228" s="115">
        <v>1000000</v>
      </c>
      <c r="H228" s="115">
        <v>1600000</v>
      </c>
      <c r="I228" s="115">
        <v>1526639</v>
      </c>
      <c r="J228" s="268">
        <f t="shared" si="12"/>
        <v>0.954149375</v>
      </c>
    </row>
    <row r="229" spans="1:10" ht="15.75" customHeight="1">
      <c r="A229" s="97"/>
      <c r="B229" s="88" t="s">
        <v>206</v>
      </c>
      <c r="C229" s="98"/>
      <c r="D229" s="88" t="s">
        <v>207</v>
      </c>
      <c r="E229" s="98"/>
      <c r="F229" s="91"/>
      <c r="G229" s="122">
        <f>G230</f>
        <v>918000</v>
      </c>
      <c r="H229" s="122">
        <f>H230</f>
        <v>918000</v>
      </c>
      <c r="I229" s="122">
        <f>I230</f>
        <v>513374</v>
      </c>
      <c r="J229" s="267">
        <f t="shared" si="12"/>
        <v>0.5592309368191721</v>
      </c>
    </row>
    <row r="230" spans="1:10" ht="15.75" customHeight="1">
      <c r="A230" s="90"/>
      <c r="B230" s="91"/>
      <c r="C230" s="91" t="s">
        <v>208</v>
      </c>
      <c r="D230" s="91" t="s">
        <v>209</v>
      </c>
      <c r="E230" s="91"/>
      <c r="F230" s="91"/>
      <c r="G230" s="123">
        <v>918000</v>
      </c>
      <c r="H230" s="123">
        <v>918000</v>
      </c>
      <c r="I230" s="123">
        <v>513374</v>
      </c>
      <c r="J230" s="268">
        <f>I230/H230</f>
        <v>0.5592309368191721</v>
      </c>
    </row>
    <row r="231" spans="1:10" ht="15.75" customHeight="1">
      <c r="A231" s="90"/>
      <c r="B231" s="91"/>
      <c r="C231" s="91"/>
      <c r="D231" s="93"/>
      <c r="E231" s="93"/>
      <c r="F231" s="91"/>
      <c r="G231" s="123"/>
      <c r="H231" s="81"/>
      <c r="I231" s="81"/>
      <c r="J231" s="81"/>
    </row>
    <row r="232" spans="1:10" ht="15.75" customHeight="1">
      <c r="A232" s="84" t="s">
        <v>113</v>
      </c>
      <c r="B232" s="104"/>
      <c r="C232" s="104"/>
      <c r="D232" s="104"/>
      <c r="E232" s="104"/>
      <c r="F232" s="114">
        <v>13</v>
      </c>
      <c r="G232" s="124">
        <f>G233+G244+G248+G266</f>
        <v>86882203.38999999</v>
      </c>
      <c r="H232" s="124">
        <f>H233+H244+H248+H266+H262</f>
        <v>95213748</v>
      </c>
      <c r="I232" s="124">
        <f>I233+I244+I248+I266+I262</f>
        <v>91254189</v>
      </c>
      <c r="J232" s="269">
        <f>I232/H232</f>
        <v>0.9584139992052408</v>
      </c>
    </row>
    <row r="233" spans="1:10" ht="15.75" customHeight="1">
      <c r="A233" s="87" t="s">
        <v>23</v>
      </c>
      <c r="B233" s="88"/>
      <c r="C233" s="88" t="s">
        <v>158</v>
      </c>
      <c r="D233" s="88"/>
      <c r="E233" s="88"/>
      <c r="F233" s="125"/>
      <c r="G233" s="110">
        <f>G234+G241</f>
        <v>45935534.8</v>
      </c>
      <c r="H233" s="110">
        <f>H234+H241</f>
        <v>51529330</v>
      </c>
      <c r="I233" s="110">
        <f>I234+I241</f>
        <v>50785969</v>
      </c>
      <c r="J233" s="267">
        <f aca="true" t="shared" si="13" ref="J233:J267">I233/H233</f>
        <v>0.9855740216300115</v>
      </c>
    </row>
    <row r="234" spans="1:10" ht="15.75" customHeight="1">
      <c r="A234" s="90"/>
      <c r="B234" s="88" t="s">
        <v>159</v>
      </c>
      <c r="C234" s="88"/>
      <c r="D234" s="88" t="s">
        <v>160</v>
      </c>
      <c r="E234" s="88"/>
      <c r="F234" s="91"/>
      <c r="G234" s="110">
        <f>SUM(G235:G239)</f>
        <v>40935534.8</v>
      </c>
      <c r="H234" s="110">
        <f>SUM(H235:H240)</f>
        <v>43670622</v>
      </c>
      <c r="I234" s="110">
        <f>SUM(I235:I240)</f>
        <v>42993657</v>
      </c>
      <c r="J234" s="267">
        <f t="shared" si="13"/>
        <v>0.9844983888711272</v>
      </c>
    </row>
    <row r="235" spans="1:10" ht="15.75" customHeight="1">
      <c r="A235" s="81"/>
      <c r="B235" s="91"/>
      <c r="C235" s="91" t="s">
        <v>161</v>
      </c>
      <c r="D235" s="91" t="s">
        <v>162</v>
      </c>
      <c r="E235" s="91"/>
      <c r="F235" s="91"/>
      <c r="G235" s="109">
        <f>32739740*1.02</f>
        <v>33394534.8</v>
      </c>
      <c r="H235" s="109">
        <v>35000000</v>
      </c>
      <c r="I235" s="109">
        <f>34317586+436122</f>
        <v>34753708</v>
      </c>
      <c r="J235" s="268">
        <f t="shared" si="13"/>
        <v>0.9929630857142857</v>
      </c>
    </row>
    <row r="236" spans="1:10" ht="15.75" customHeight="1">
      <c r="A236" s="81"/>
      <c r="B236" s="91"/>
      <c r="C236" s="91" t="s">
        <v>332</v>
      </c>
      <c r="D236" s="91" t="s">
        <v>343</v>
      </c>
      <c r="E236" s="91"/>
      <c r="F236" s="91"/>
      <c r="G236" s="109">
        <v>3000000</v>
      </c>
      <c r="H236" s="109">
        <v>2097500</v>
      </c>
      <c r="I236" s="109">
        <v>1747150</v>
      </c>
      <c r="J236" s="268">
        <f t="shared" si="13"/>
        <v>0.8329678188319428</v>
      </c>
    </row>
    <row r="237" spans="1:10" ht="15.75" customHeight="1">
      <c r="A237" s="81"/>
      <c r="B237" s="91"/>
      <c r="C237" s="91" t="s">
        <v>242</v>
      </c>
      <c r="D237" s="91" t="s">
        <v>243</v>
      </c>
      <c r="E237" s="91"/>
      <c r="F237" s="91"/>
      <c r="G237" s="108">
        <v>2500000</v>
      </c>
      <c r="H237" s="108">
        <v>3200000</v>
      </c>
      <c r="I237" s="108">
        <v>3126397</v>
      </c>
      <c r="J237" s="268">
        <f t="shared" si="13"/>
        <v>0.9769990625</v>
      </c>
    </row>
    <row r="238" spans="1:10" ht="15.75" customHeight="1">
      <c r="A238" s="90"/>
      <c r="B238" s="91"/>
      <c r="C238" s="91" t="s">
        <v>163</v>
      </c>
      <c r="D238" s="91" t="s">
        <v>164</v>
      </c>
      <c r="E238" s="91"/>
      <c r="F238" s="91"/>
      <c r="G238" s="108">
        <v>1963000</v>
      </c>
      <c r="H238" s="108">
        <v>2370997</v>
      </c>
      <c r="I238" s="108">
        <v>2370997</v>
      </c>
      <c r="J238" s="268">
        <f t="shared" si="13"/>
        <v>1</v>
      </c>
    </row>
    <row r="239" spans="1:10" ht="15.75" customHeight="1">
      <c r="A239" s="90"/>
      <c r="B239" s="91"/>
      <c r="C239" s="91" t="s">
        <v>260</v>
      </c>
      <c r="D239" s="91" t="s">
        <v>261</v>
      </c>
      <c r="E239" s="91"/>
      <c r="F239" s="91"/>
      <c r="G239" s="108">
        <v>78000</v>
      </c>
      <c r="H239" s="108">
        <v>78000</v>
      </c>
      <c r="I239" s="108">
        <v>71280</v>
      </c>
      <c r="J239" s="268">
        <f t="shared" si="13"/>
        <v>0.9138461538461539</v>
      </c>
    </row>
    <row r="240" spans="1:10" ht="15.75" customHeight="1">
      <c r="A240" s="90"/>
      <c r="B240" s="91"/>
      <c r="C240" s="91" t="s">
        <v>230</v>
      </c>
      <c r="D240" s="91" t="s">
        <v>424</v>
      </c>
      <c r="E240" s="91"/>
      <c r="F240" s="91"/>
      <c r="G240" s="108"/>
      <c r="H240" s="108">
        <v>924125</v>
      </c>
      <c r="I240" s="108">
        <v>924125</v>
      </c>
      <c r="J240" s="268">
        <f t="shared" si="13"/>
        <v>1</v>
      </c>
    </row>
    <row r="241" spans="1:10" ht="15.75" customHeight="1">
      <c r="A241" s="90"/>
      <c r="B241" s="88" t="s">
        <v>165</v>
      </c>
      <c r="C241" s="88"/>
      <c r="D241" s="88" t="s">
        <v>166</v>
      </c>
      <c r="E241" s="88"/>
      <c r="F241" s="88"/>
      <c r="G241" s="110">
        <f>G242+G243</f>
        <v>5000000</v>
      </c>
      <c r="H241" s="110">
        <f>H242+H243</f>
        <v>7858708</v>
      </c>
      <c r="I241" s="110">
        <f>I242+I243</f>
        <v>7792312</v>
      </c>
      <c r="J241" s="267">
        <f t="shared" si="13"/>
        <v>0.9915512829844295</v>
      </c>
    </row>
    <row r="242" spans="1:10" ht="15.75" customHeight="1">
      <c r="A242" s="90"/>
      <c r="B242" s="91"/>
      <c r="C242" s="91" t="s">
        <v>262</v>
      </c>
      <c r="D242" s="91" t="s">
        <v>263</v>
      </c>
      <c r="E242" s="91"/>
      <c r="F242" s="91"/>
      <c r="G242" s="108">
        <v>4500000</v>
      </c>
      <c r="H242" s="108">
        <v>7113629</v>
      </c>
      <c r="I242" s="108">
        <v>7113629</v>
      </c>
      <c r="J242" s="268">
        <f t="shared" si="13"/>
        <v>1</v>
      </c>
    </row>
    <row r="243" spans="1:10" ht="15.75" customHeight="1">
      <c r="A243" s="90"/>
      <c r="B243" s="91"/>
      <c r="C243" s="91" t="s">
        <v>173</v>
      </c>
      <c r="D243" s="91" t="s">
        <v>174</v>
      </c>
      <c r="E243" s="91"/>
      <c r="F243" s="91"/>
      <c r="G243" s="108">
        <v>500000</v>
      </c>
      <c r="H243" s="108">
        <v>745079</v>
      </c>
      <c r="I243" s="108">
        <v>678683</v>
      </c>
      <c r="J243" s="268">
        <f t="shared" si="13"/>
        <v>0.9108873018834245</v>
      </c>
    </row>
    <row r="244" spans="1:10" ht="15.75" customHeight="1">
      <c r="A244" s="87" t="s">
        <v>25</v>
      </c>
      <c r="B244" s="88"/>
      <c r="C244" s="88" t="s">
        <v>175</v>
      </c>
      <c r="D244" s="95"/>
      <c r="E244" s="95"/>
      <c r="F244" s="91"/>
      <c r="G244" s="110">
        <f>SUM(G245:G247)</f>
        <v>8333168.589999999</v>
      </c>
      <c r="H244" s="110">
        <f>SUM(H245:H247)</f>
        <v>7974915</v>
      </c>
      <c r="I244" s="110">
        <f>SUM(I245:I247)</f>
        <v>8501969</v>
      </c>
      <c r="J244" s="267">
        <f t="shared" si="13"/>
        <v>1.0660889802587237</v>
      </c>
    </row>
    <row r="245" spans="1:10" ht="15.75" customHeight="1">
      <c r="A245" s="90"/>
      <c r="B245" s="91"/>
      <c r="C245" s="91" t="s">
        <v>244</v>
      </c>
      <c r="D245" s="93" t="s">
        <v>176</v>
      </c>
      <c r="E245" s="91"/>
      <c r="F245" s="91"/>
      <c r="G245" s="109">
        <f>(G234+G241)*0.175</f>
        <v>8038718.589999999</v>
      </c>
      <c r="H245" s="109">
        <v>7619265</v>
      </c>
      <c r="I245" s="109">
        <f>7762588+149698</f>
        <v>7912286</v>
      </c>
      <c r="J245" s="268">
        <f t="shared" si="13"/>
        <v>1.038457908997784</v>
      </c>
    </row>
    <row r="246" spans="1:10" ht="15.75" customHeight="1">
      <c r="A246" s="90"/>
      <c r="B246" s="91"/>
      <c r="C246" s="91" t="s">
        <v>469</v>
      </c>
      <c r="D246" s="93" t="s">
        <v>471</v>
      </c>
      <c r="E246" s="91"/>
      <c r="F246" s="91"/>
      <c r="G246" s="109"/>
      <c r="H246" s="109"/>
      <c r="I246" s="109">
        <v>234036</v>
      </c>
      <c r="J246" s="268"/>
    </row>
    <row r="247" spans="1:10" ht="15.75" customHeight="1">
      <c r="A247" s="90"/>
      <c r="B247" s="91"/>
      <c r="C247" s="91" t="s">
        <v>264</v>
      </c>
      <c r="D247" s="93" t="s">
        <v>177</v>
      </c>
      <c r="E247" s="91"/>
      <c r="F247" s="91"/>
      <c r="G247" s="108">
        <f>G238*0.15</f>
        <v>294450</v>
      </c>
      <c r="H247" s="108">
        <v>355650</v>
      </c>
      <c r="I247" s="108">
        <f>344335+11312</f>
        <v>355647</v>
      </c>
      <c r="J247" s="268">
        <f t="shared" si="13"/>
        <v>0.9999915647406158</v>
      </c>
    </row>
    <row r="248" spans="1:10" ht="15.75" customHeight="1">
      <c r="A248" s="87" t="s">
        <v>27</v>
      </c>
      <c r="B248" s="88"/>
      <c r="C248" s="88" t="s">
        <v>28</v>
      </c>
      <c r="D248" s="88"/>
      <c r="E248" s="88"/>
      <c r="F248" s="91"/>
      <c r="G248" s="110">
        <f>G249+G252+G255+G260</f>
        <v>30543500</v>
      </c>
      <c r="H248" s="110">
        <f>H249+H252+H255+H260</f>
        <v>30718189</v>
      </c>
      <c r="I248" s="110">
        <f>I249+I252+I255+I260</f>
        <v>27699044</v>
      </c>
      <c r="J248" s="267">
        <f t="shared" si="13"/>
        <v>0.9017147462697102</v>
      </c>
    </row>
    <row r="249" spans="1:10" ht="15.75" customHeight="1">
      <c r="A249" s="97"/>
      <c r="B249" s="88" t="s">
        <v>178</v>
      </c>
      <c r="C249" s="98"/>
      <c r="D249" s="88" t="s">
        <v>179</v>
      </c>
      <c r="E249" s="99"/>
      <c r="F249" s="91"/>
      <c r="G249" s="110">
        <f>G250+G251</f>
        <v>6500000</v>
      </c>
      <c r="H249" s="110">
        <f>H250+H251</f>
        <v>9294233</v>
      </c>
      <c r="I249" s="110">
        <f>I250+I251</f>
        <v>8863233</v>
      </c>
      <c r="J249" s="267">
        <f t="shared" si="13"/>
        <v>0.9536271578300222</v>
      </c>
    </row>
    <row r="250" spans="1:10" ht="15.75" customHeight="1">
      <c r="A250" s="90"/>
      <c r="B250" s="91"/>
      <c r="C250" s="91" t="s">
        <v>180</v>
      </c>
      <c r="D250" s="91" t="s">
        <v>181</v>
      </c>
      <c r="E250" s="97"/>
      <c r="F250" s="91"/>
      <c r="G250" s="108">
        <v>500000</v>
      </c>
      <c r="H250" s="108">
        <v>500000</v>
      </c>
      <c r="I250" s="108">
        <v>69000</v>
      </c>
      <c r="J250" s="268">
        <f t="shared" si="13"/>
        <v>0.138</v>
      </c>
    </row>
    <row r="251" spans="1:10" ht="15.75" customHeight="1">
      <c r="A251" s="90"/>
      <c r="B251" s="91"/>
      <c r="C251" s="91" t="s">
        <v>183</v>
      </c>
      <c r="D251" s="91" t="s">
        <v>184</v>
      </c>
      <c r="E251" s="91"/>
      <c r="F251" s="91"/>
      <c r="G251" s="108">
        <v>6000000</v>
      </c>
      <c r="H251" s="108">
        <v>8794233</v>
      </c>
      <c r="I251" s="108">
        <v>8794233</v>
      </c>
      <c r="J251" s="268">
        <f t="shared" si="13"/>
        <v>1</v>
      </c>
    </row>
    <row r="252" spans="1:10" ht="15.75" customHeight="1">
      <c r="A252" s="97"/>
      <c r="B252" s="88" t="s">
        <v>186</v>
      </c>
      <c r="C252" s="98"/>
      <c r="D252" s="88" t="s">
        <v>187</v>
      </c>
      <c r="E252" s="98"/>
      <c r="F252" s="91"/>
      <c r="G252" s="110">
        <f>G253+G254</f>
        <v>1050000</v>
      </c>
      <c r="H252" s="110">
        <f>H253+H254</f>
        <v>884845</v>
      </c>
      <c r="I252" s="110">
        <f>I253+I254</f>
        <v>872682</v>
      </c>
      <c r="J252" s="267">
        <f t="shared" si="13"/>
        <v>0.9862540896993258</v>
      </c>
    </row>
    <row r="253" spans="1:10" ht="15.75" customHeight="1">
      <c r="A253" s="90"/>
      <c r="B253" s="91"/>
      <c r="C253" s="91" t="s">
        <v>188</v>
      </c>
      <c r="D253" s="91" t="s">
        <v>189</v>
      </c>
      <c r="E253" s="91"/>
      <c r="F253" s="91"/>
      <c r="G253" s="108">
        <v>600000</v>
      </c>
      <c r="H253" s="108">
        <v>634845</v>
      </c>
      <c r="I253" s="108">
        <v>634845</v>
      </c>
      <c r="J253" s="268">
        <f t="shared" si="13"/>
        <v>1</v>
      </c>
    </row>
    <row r="254" spans="1:10" ht="15.75" customHeight="1">
      <c r="A254" s="90"/>
      <c r="B254" s="91"/>
      <c r="C254" s="91" t="s">
        <v>190</v>
      </c>
      <c r="D254" s="91" t="s">
        <v>191</v>
      </c>
      <c r="E254" s="91"/>
      <c r="F254" s="91"/>
      <c r="G254" s="108">
        <v>450000</v>
      </c>
      <c r="H254" s="108">
        <v>250000</v>
      </c>
      <c r="I254" s="108">
        <v>237837</v>
      </c>
      <c r="J254" s="268">
        <f t="shared" si="13"/>
        <v>0.951348</v>
      </c>
    </row>
    <row r="255" spans="1:10" ht="15.75" customHeight="1">
      <c r="A255" s="97"/>
      <c r="B255" s="88" t="s">
        <v>192</v>
      </c>
      <c r="C255" s="98"/>
      <c r="D255" s="88" t="s">
        <v>193</v>
      </c>
      <c r="E255" s="98"/>
      <c r="F255" s="91"/>
      <c r="G255" s="110">
        <f>G256+G258+G259</f>
        <v>16500000</v>
      </c>
      <c r="H255" s="110">
        <f>H256+H258+H259+H257</f>
        <v>15045611</v>
      </c>
      <c r="I255" s="110">
        <f>I256+I258+I259+I257</f>
        <v>13031898</v>
      </c>
      <c r="J255" s="267">
        <f t="shared" si="13"/>
        <v>0.8661594401184505</v>
      </c>
    </row>
    <row r="256" spans="1:10" ht="15.75" customHeight="1">
      <c r="A256" s="90"/>
      <c r="B256" s="91"/>
      <c r="C256" s="91" t="s">
        <v>194</v>
      </c>
      <c r="D256" s="91" t="s">
        <v>195</v>
      </c>
      <c r="E256" s="91"/>
      <c r="F256" s="91"/>
      <c r="G256" s="108">
        <v>3500000</v>
      </c>
      <c r="H256" s="108">
        <v>4320000</v>
      </c>
      <c r="I256" s="108">
        <v>3650875</v>
      </c>
      <c r="J256" s="268">
        <f t="shared" si="13"/>
        <v>0.8451099537037037</v>
      </c>
    </row>
    <row r="257" spans="1:10" ht="15.75" customHeight="1">
      <c r="A257" s="90"/>
      <c r="B257" s="91"/>
      <c r="C257" s="91" t="s">
        <v>196</v>
      </c>
      <c r="D257" s="91" t="s">
        <v>448</v>
      </c>
      <c r="E257" s="91"/>
      <c r="F257" s="91"/>
      <c r="G257" s="108"/>
      <c r="H257" s="108">
        <v>225611</v>
      </c>
      <c r="I257" s="108">
        <v>225611</v>
      </c>
      <c r="J257" s="268">
        <f t="shared" si="13"/>
        <v>1</v>
      </c>
    </row>
    <row r="258" spans="1:10" ht="15.75" customHeight="1">
      <c r="A258" s="90"/>
      <c r="B258" s="91"/>
      <c r="C258" s="91" t="s">
        <v>198</v>
      </c>
      <c r="D258" s="91" t="s">
        <v>199</v>
      </c>
      <c r="E258" s="91"/>
      <c r="F258" s="91"/>
      <c r="G258" s="108">
        <v>4500000</v>
      </c>
      <c r="H258" s="108">
        <v>4500000</v>
      </c>
      <c r="I258" s="108">
        <v>4276291</v>
      </c>
      <c r="J258" s="268">
        <f t="shared" si="13"/>
        <v>0.9502868888888889</v>
      </c>
    </row>
    <row r="259" spans="1:10" ht="15.75" customHeight="1">
      <c r="A259" s="90"/>
      <c r="B259" s="91"/>
      <c r="C259" s="91" t="s">
        <v>200</v>
      </c>
      <c r="D259" s="91" t="s">
        <v>201</v>
      </c>
      <c r="E259" s="91"/>
      <c r="F259" s="91"/>
      <c r="G259" s="108">
        <v>8500000</v>
      </c>
      <c r="H259" s="108">
        <v>6000000</v>
      </c>
      <c r="I259" s="108">
        <v>4879121</v>
      </c>
      <c r="J259" s="268">
        <f t="shared" si="13"/>
        <v>0.8131868333333333</v>
      </c>
    </row>
    <row r="260" spans="1:10" ht="15.75" customHeight="1">
      <c r="A260" s="97"/>
      <c r="B260" s="88" t="s">
        <v>206</v>
      </c>
      <c r="C260" s="98"/>
      <c r="D260" s="88" t="s">
        <v>207</v>
      </c>
      <c r="E260" s="98"/>
      <c r="F260" s="91"/>
      <c r="G260" s="110">
        <f>SUM(G261)</f>
        <v>6493500</v>
      </c>
      <c r="H260" s="110">
        <f>SUM(H261)</f>
        <v>5493500</v>
      </c>
      <c r="I260" s="110">
        <f>SUM(I261)</f>
        <v>4931231</v>
      </c>
      <c r="J260" s="267">
        <f t="shared" si="13"/>
        <v>0.8976483116410303</v>
      </c>
    </row>
    <row r="261" spans="1:10" ht="15.75" customHeight="1">
      <c r="A261" s="90"/>
      <c r="B261" s="91"/>
      <c r="C261" s="91" t="s">
        <v>208</v>
      </c>
      <c r="D261" s="91" t="s">
        <v>209</v>
      </c>
      <c r="E261" s="91"/>
      <c r="F261" s="91"/>
      <c r="G261" s="109">
        <v>6493500</v>
      </c>
      <c r="H261" s="109">
        <v>5493500</v>
      </c>
      <c r="I261" s="109">
        <v>4931231</v>
      </c>
      <c r="J261" s="268">
        <f t="shared" si="13"/>
        <v>0.8976483116410303</v>
      </c>
    </row>
    <row r="262" spans="1:10" ht="15.75" customHeight="1">
      <c r="A262" s="101" t="s">
        <v>34</v>
      </c>
      <c r="B262" s="91"/>
      <c r="C262" s="88" t="s">
        <v>35</v>
      </c>
      <c r="D262" s="91"/>
      <c r="E262" s="91"/>
      <c r="F262" s="91"/>
      <c r="G262" s="109"/>
      <c r="H262" s="128">
        <f>SUM(H263:H265)</f>
        <v>4067314</v>
      </c>
      <c r="I262" s="128">
        <f>SUM(I263:I265)</f>
        <v>3439907</v>
      </c>
      <c r="J262" s="267">
        <f t="shared" si="13"/>
        <v>0.8457441446615629</v>
      </c>
    </row>
    <row r="263" spans="1:10" ht="15.75" customHeight="1">
      <c r="A263" s="101"/>
      <c r="B263" s="88" t="s">
        <v>449</v>
      </c>
      <c r="C263" s="88"/>
      <c r="D263" s="91" t="s">
        <v>435</v>
      </c>
      <c r="E263" s="91"/>
      <c r="F263" s="91"/>
      <c r="G263" s="109"/>
      <c r="H263" s="109">
        <v>311026</v>
      </c>
      <c r="I263" s="109">
        <v>155513</v>
      </c>
      <c r="J263" s="268">
        <f t="shared" si="13"/>
        <v>0.5</v>
      </c>
    </row>
    <row r="264" spans="1:10" ht="15.75" customHeight="1">
      <c r="A264" s="101"/>
      <c r="B264" s="88" t="s">
        <v>236</v>
      </c>
      <c r="C264" s="88"/>
      <c r="D264" s="91" t="s">
        <v>425</v>
      </c>
      <c r="E264" s="91"/>
      <c r="F264" s="91"/>
      <c r="G264" s="109"/>
      <c r="H264" s="109">
        <v>2890000</v>
      </c>
      <c r="I264" s="109">
        <v>2553075</v>
      </c>
      <c r="J264" s="268">
        <f t="shared" si="13"/>
        <v>0.883416955017301</v>
      </c>
    </row>
    <row r="265" spans="1:10" ht="15.75" customHeight="1">
      <c r="A265" s="90"/>
      <c r="B265" s="88" t="s">
        <v>237</v>
      </c>
      <c r="C265" s="91"/>
      <c r="D265" s="91" t="s">
        <v>238</v>
      </c>
      <c r="E265" s="91"/>
      <c r="F265" s="91"/>
      <c r="G265" s="109"/>
      <c r="H265" s="109">
        <v>866288</v>
      </c>
      <c r="I265" s="109">
        <v>731319</v>
      </c>
      <c r="J265" s="268">
        <f t="shared" si="13"/>
        <v>0.8441984651755536</v>
      </c>
    </row>
    <row r="266" spans="1:10" ht="15.75" customHeight="1">
      <c r="A266" s="113" t="s">
        <v>36</v>
      </c>
      <c r="B266" s="113"/>
      <c r="C266" s="113" t="s">
        <v>37</v>
      </c>
      <c r="D266" s="81"/>
      <c r="E266" s="81"/>
      <c r="F266" s="91"/>
      <c r="G266" s="110">
        <f>G267+G268</f>
        <v>2070000</v>
      </c>
      <c r="H266" s="110">
        <f>H267+H268</f>
        <v>924000</v>
      </c>
      <c r="I266" s="110">
        <f>I267+I268</f>
        <v>827300</v>
      </c>
      <c r="J266" s="267">
        <f t="shared" si="13"/>
        <v>0.8953463203463203</v>
      </c>
    </row>
    <row r="267" spans="1:10" ht="15.75" customHeight="1">
      <c r="A267" s="81"/>
      <c r="B267" s="113" t="s">
        <v>247</v>
      </c>
      <c r="C267" s="81"/>
      <c r="D267" s="81" t="s">
        <v>381</v>
      </c>
      <c r="E267" s="81"/>
      <c r="F267" s="91"/>
      <c r="G267" s="108">
        <f>1000000+629920</f>
        <v>1629920</v>
      </c>
      <c r="H267" s="81">
        <v>800000</v>
      </c>
      <c r="I267" s="81">
        <v>749000</v>
      </c>
      <c r="J267" s="268">
        <f t="shared" si="13"/>
        <v>0.93625</v>
      </c>
    </row>
    <row r="268" spans="1:10" ht="15.75" customHeight="1">
      <c r="A268" s="81"/>
      <c r="B268" s="113" t="s">
        <v>249</v>
      </c>
      <c r="C268" s="81"/>
      <c r="D268" s="81" t="s">
        <v>250</v>
      </c>
      <c r="E268" s="81"/>
      <c r="F268" s="91"/>
      <c r="G268" s="108">
        <f>270000+170080</f>
        <v>440080</v>
      </c>
      <c r="H268" s="81">
        <v>124000</v>
      </c>
      <c r="I268" s="81">
        <v>78300</v>
      </c>
      <c r="J268" s="268">
        <f>I268/H268</f>
        <v>0.6314516129032258</v>
      </c>
    </row>
    <row r="269" spans="1:10" ht="15.75" customHeight="1">
      <c r="A269" s="90"/>
      <c r="B269" s="91"/>
      <c r="C269" s="91"/>
      <c r="D269" s="91"/>
      <c r="E269" s="91"/>
      <c r="F269" s="91"/>
      <c r="G269" s="108"/>
      <c r="H269" s="81"/>
      <c r="I269" s="81"/>
      <c r="J269" s="81"/>
    </row>
    <row r="270" spans="1:10" ht="15.75" customHeight="1">
      <c r="A270" s="84" t="s">
        <v>265</v>
      </c>
      <c r="B270" s="104"/>
      <c r="C270" s="104"/>
      <c r="D270" s="104"/>
      <c r="E270" s="104"/>
      <c r="F270" s="114">
        <v>0.25</v>
      </c>
      <c r="G270" s="107">
        <f>G276+G289+G271+G274</f>
        <v>4145100</v>
      </c>
      <c r="H270" s="107">
        <f>H276+H289+H271+H274</f>
        <v>4971168</v>
      </c>
      <c r="I270" s="107">
        <f>I276+I289+I271+I274</f>
        <v>4552927</v>
      </c>
      <c r="J270" s="269">
        <f>I270/H270</f>
        <v>0.9158666534705727</v>
      </c>
    </row>
    <row r="271" spans="1:10" s="142" customFormat="1" ht="15.75" customHeight="1">
      <c r="A271" s="148" t="s">
        <v>23</v>
      </c>
      <c r="B271" s="149"/>
      <c r="C271" s="149" t="s">
        <v>158</v>
      </c>
      <c r="D271" s="149"/>
      <c r="E271" s="149"/>
      <c r="F271" s="146"/>
      <c r="G271" s="147">
        <f aca="true" t="shared" si="14" ref="G271:I272">SUM(G272)</f>
        <v>1932000</v>
      </c>
      <c r="H271" s="147">
        <f t="shared" si="14"/>
        <v>1932000</v>
      </c>
      <c r="I271" s="147">
        <f t="shared" si="14"/>
        <v>1759388</v>
      </c>
      <c r="J271" s="267">
        <f aca="true" t="shared" si="15" ref="J271:J289">I271/H271</f>
        <v>0.9106563146997929</v>
      </c>
    </row>
    <row r="272" spans="1:10" s="142" customFormat="1" ht="15.75" customHeight="1">
      <c r="A272" s="150"/>
      <c r="B272" s="149" t="s">
        <v>165</v>
      </c>
      <c r="C272" s="149"/>
      <c r="D272" s="149" t="s">
        <v>166</v>
      </c>
      <c r="E272" s="149"/>
      <c r="F272" s="146"/>
      <c r="G272" s="147">
        <f t="shared" si="14"/>
        <v>1932000</v>
      </c>
      <c r="H272" s="147">
        <f t="shared" si="14"/>
        <v>1932000</v>
      </c>
      <c r="I272" s="147">
        <f t="shared" si="14"/>
        <v>1759388</v>
      </c>
      <c r="J272" s="267">
        <f t="shared" si="15"/>
        <v>0.9106563146997929</v>
      </c>
    </row>
    <row r="273" spans="1:10" s="142" customFormat="1" ht="15.75" customHeight="1">
      <c r="A273" s="81"/>
      <c r="B273" s="151"/>
      <c r="C273" s="151" t="s">
        <v>262</v>
      </c>
      <c r="D273" s="151" t="s">
        <v>263</v>
      </c>
      <c r="E273" s="151"/>
      <c r="F273" s="146"/>
      <c r="G273" s="154">
        <v>1932000</v>
      </c>
      <c r="H273" s="154">
        <v>1932000</v>
      </c>
      <c r="I273" s="154">
        <v>1759388</v>
      </c>
      <c r="J273" s="268">
        <f t="shared" si="15"/>
        <v>0.9106563146997929</v>
      </c>
    </row>
    <row r="274" spans="1:10" s="142" customFormat="1" ht="15.75" customHeight="1">
      <c r="A274" s="148" t="s">
        <v>25</v>
      </c>
      <c r="B274" s="149"/>
      <c r="C274" s="149" t="s">
        <v>175</v>
      </c>
      <c r="D274" s="152"/>
      <c r="E274" s="151"/>
      <c r="F274" s="146"/>
      <c r="G274" s="147">
        <f>SUM(G275)</f>
        <v>338100</v>
      </c>
      <c r="H274" s="147">
        <f>SUM(H275)</f>
        <v>338100</v>
      </c>
      <c r="I274" s="147">
        <f>SUM(I275)</f>
        <v>175677</v>
      </c>
      <c r="J274" s="267">
        <f t="shared" si="15"/>
        <v>0.5196007098491571</v>
      </c>
    </row>
    <row r="275" spans="1:10" s="142" customFormat="1" ht="15.75" customHeight="1">
      <c r="A275" s="150"/>
      <c r="B275" s="151"/>
      <c r="C275" s="151" t="s">
        <v>244</v>
      </c>
      <c r="D275" s="153" t="s">
        <v>176</v>
      </c>
      <c r="E275" s="151"/>
      <c r="F275" s="146"/>
      <c r="G275" s="154">
        <v>338100</v>
      </c>
      <c r="H275" s="154">
        <v>338100</v>
      </c>
      <c r="I275" s="154">
        <v>175677</v>
      </c>
      <c r="J275" s="268">
        <f t="shared" si="15"/>
        <v>0.5196007098491571</v>
      </c>
    </row>
    <row r="276" spans="1:10" ht="15.75" customHeight="1">
      <c r="A276" s="87" t="s">
        <v>27</v>
      </c>
      <c r="B276" s="88"/>
      <c r="C276" s="88" t="s">
        <v>28</v>
      </c>
      <c r="D276" s="88"/>
      <c r="E276" s="88"/>
      <c r="F276" s="91"/>
      <c r="G276" s="110">
        <f>G280+G283+G287+G277</f>
        <v>720000</v>
      </c>
      <c r="H276" s="110">
        <f>H280+H283+H287+H277</f>
        <v>1960863</v>
      </c>
      <c r="I276" s="110">
        <f>I280+I283+I287+I277</f>
        <v>1877657</v>
      </c>
      <c r="J276" s="267">
        <f t="shared" si="15"/>
        <v>0.9575666428506224</v>
      </c>
    </row>
    <row r="277" spans="1:10" ht="15.75" customHeight="1">
      <c r="A277" s="87"/>
      <c r="B277" s="126"/>
      <c r="C277" s="93"/>
      <c r="D277" s="88" t="s">
        <v>179</v>
      </c>
      <c r="E277" s="97"/>
      <c r="F277" s="91"/>
      <c r="G277" s="110">
        <f>G278+G279</f>
        <v>100000</v>
      </c>
      <c r="H277" s="110">
        <f>H278+H279</f>
        <v>67200</v>
      </c>
      <c r="I277" s="110">
        <f>I278+I279</f>
        <v>67200</v>
      </c>
      <c r="J277" s="267">
        <f t="shared" si="15"/>
        <v>1</v>
      </c>
    </row>
    <row r="278" spans="1:10" ht="15.75" customHeight="1">
      <c r="A278" s="87"/>
      <c r="B278" s="88"/>
      <c r="C278" s="91" t="s">
        <v>180</v>
      </c>
      <c r="D278" s="91" t="s">
        <v>181</v>
      </c>
      <c r="E278" s="97"/>
      <c r="F278" s="91"/>
      <c r="G278" s="108">
        <v>50000</v>
      </c>
      <c r="H278" s="108">
        <v>67200</v>
      </c>
      <c r="I278" s="108">
        <v>67200</v>
      </c>
      <c r="J278" s="268">
        <f t="shared" si="15"/>
        <v>1</v>
      </c>
    </row>
    <row r="279" spans="1:10" ht="15.75" customHeight="1">
      <c r="A279" s="87"/>
      <c r="B279" s="88"/>
      <c r="C279" s="91" t="s">
        <v>183</v>
      </c>
      <c r="D279" s="91" t="s">
        <v>363</v>
      </c>
      <c r="E279" s="97"/>
      <c r="F279" s="91"/>
      <c r="G279" s="108">
        <v>50000</v>
      </c>
      <c r="H279" s="108">
        <v>0</v>
      </c>
      <c r="I279" s="108">
        <v>0</v>
      </c>
      <c r="J279" s="268"/>
    </row>
    <row r="280" spans="1:10" ht="15.75" customHeight="1">
      <c r="A280" s="97"/>
      <c r="B280" s="88" t="s">
        <v>186</v>
      </c>
      <c r="C280" s="98"/>
      <c r="D280" s="88" t="s">
        <v>187</v>
      </c>
      <c r="E280" s="98"/>
      <c r="F280" s="91"/>
      <c r="G280" s="110">
        <f>SUM(G282)</f>
        <v>130000</v>
      </c>
      <c r="H280" s="110">
        <f>SUM(H281:H282)</f>
        <v>532377</v>
      </c>
      <c r="I280" s="110">
        <f>SUM(I281:I282)</f>
        <v>530023</v>
      </c>
      <c r="J280" s="267">
        <f t="shared" si="15"/>
        <v>0.9955783213775201</v>
      </c>
    </row>
    <row r="281" spans="1:10" ht="15.75" customHeight="1">
      <c r="A281" s="97"/>
      <c r="B281" s="88"/>
      <c r="C281" s="91" t="s">
        <v>188</v>
      </c>
      <c r="D281" s="91" t="s">
        <v>426</v>
      </c>
      <c r="E281" s="98"/>
      <c r="F281" s="91"/>
      <c r="G281" s="110"/>
      <c r="H281" s="108">
        <v>379377</v>
      </c>
      <c r="I281" s="108">
        <v>377097</v>
      </c>
      <c r="J281" s="268">
        <f t="shared" si="15"/>
        <v>0.9939901470041673</v>
      </c>
    </row>
    <row r="282" spans="1:10" ht="15.75" customHeight="1">
      <c r="A282" s="90"/>
      <c r="B282" s="91"/>
      <c r="C282" s="91" t="s">
        <v>190</v>
      </c>
      <c r="D282" s="91" t="s">
        <v>191</v>
      </c>
      <c r="E282" s="91"/>
      <c r="F282" s="91"/>
      <c r="G282" s="108">
        <v>130000</v>
      </c>
      <c r="H282" s="108">
        <v>153000</v>
      </c>
      <c r="I282" s="108">
        <v>152926</v>
      </c>
      <c r="J282" s="268">
        <f t="shared" si="15"/>
        <v>0.999516339869281</v>
      </c>
    </row>
    <row r="283" spans="1:10" ht="15.75" customHeight="1">
      <c r="A283" s="97"/>
      <c r="B283" s="88" t="s">
        <v>192</v>
      </c>
      <c r="C283" s="98"/>
      <c r="D283" s="88" t="s">
        <v>193</v>
      </c>
      <c r="E283" s="98"/>
      <c r="F283" s="91"/>
      <c r="G283" s="110">
        <f>G284+G285+G286</f>
        <v>330000</v>
      </c>
      <c r="H283" s="110">
        <f>H284+H285+H286</f>
        <v>981286</v>
      </c>
      <c r="I283" s="110">
        <f>I284+I285+I286</f>
        <v>902044</v>
      </c>
      <c r="J283" s="267">
        <f t="shared" si="15"/>
        <v>0.9192467843217982</v>
      </c>
    </row>
    <row r="284" spans="1:10" ht="15.75" customHeight="1">
      <c r="A284" s="90"/>
      <c r="B284" s="91"/>
      <c r="C284" s="91" t="s">
        <v>194</v>
      </c>
      <c r="D284" s="91" t="s">
        <v>195</v>
      </c>
      <c r="E284" s="91"/>
      <c r="F284" s="91"/>
      <c r="G284" s="108">
        <v>130000</v>
      </c>
      <c r="H284" s="108">
        <v>700000</v>
      </c>
      <c r="I284" s="108">
        <v>699364</v>
      </c>
      <c r="J284" s="268">
        <f t="shared" si="15"/>
        <v>0.9990914285714285</v>
      </c>
    </row>
    <row r="285" spans="1:10" ht="15.75" customHeight="1">
      <c r="A285" s="90"/>
      <c r="B285" s="91"/>
      <c r="C285" s="91" t="s">
        <v>198</v>
      </c>
      <c r="D285" s="91" t="s">
        <v>199</v>
      </c>
      <c r="E285" s="91"/>
      <c r="F285" s="91"/>
      <c r="G285" s="108">
        <v>100000</v>
      </c>
      <c r="H285" s="108">
        <v>100000</v>
      </c>
      <c r="I285" s="108">
        <v>21394</v>
      </c>
      <c r="J285" s="268">
        <f t="shared" si="15"/>
        <v>0.21394</v>
      </c>
    </row>
    <row r="286" spans="1:10" ht="15.75" customHeight="1">
      <c r="A286" s="90"/>
      <c r="B286" s="91"/>
      <c r="C286" s="91" t="s">
        <v>200</v>
      </c>
      <c r="D286" s="91" t="s">
        <v>201</v>
      </c>
      <c r="E286" s="91"/>
      <c r="F286" s="91"/>
      <c r="G286" s="108">
        <v>100000</v>
      </c>
      <c r="H286" s="108">
        <v>181286</v>
      </c>
      <c r="I286" s="108">
        <v>181286</v>
      </c>
      <c r="J286" s="268">
        <f t="shared" si="15"/>
        <v>1</v>
      </c>
    </row>
    <row r="287" spans="1:10" ht="15.75" customHeight="1">
      <c r="A287" s="97"/>
      <c r="B287" s="88" t="s">
        <v>206</v>
      </c>
      <c r="C287" s="98"/>
      <c r="D287" s="88" t="s">
        <v>207</v>
      </c>
      <c r="E287" s="98"/>
      <c r="F287" s="91"/>
      <c r="G287" s="110">
        <f>SUM(G288)</f>
        <v>160000</v>
      </c>
      <c r="H287" s="110">
        <f>SUM(H288)</f>
        <v>380000</v>
      </c>
      <c r="I287" s="110">
        <f>SUM(I288)</f>
        <v>378390</v>
      </c>
      <c r="J287" s="267">
        <f t="shared" si="15"/>
        <v>0.9957631578947368</v>
      </c>
    </row>
    <row r="288" spans="1:10" ht="15.75" customHeight="1">
      <c r="A288" s="90"/>
      <c r="B288" s="91"/>
      <c r="C288" s="91" t="s">
        <v>208</v>
      </c>
      <c r="D288" s="91" t="s">
        <v>209</v>
      </c>
      <c r="E288" s="91"/>
      <c r="F288" s="91"/>
      <c r="G288" s="108">
        <v>160000</v>
      </c>
      <c r="H288" s="108">
        <v>380000</v>
      </c>
      <c r="I288" s="108">
        <v>378390</v>
      </c>
      <c r="J288" s="268">
        <f t="shared" si="15"/>
        <v>0.9957631578947368</v>
      </c>
    </row>
    <row r="289" spans="1:10" ht="15.75" customHeight="1">
      <c r="A289" s="87" t="s">
        <v>31</v>
      </c>
      <c r="B289" s="88"/>
      <c r="C289" s="88" t="s">
        <v>32</v>
      </c>
      <c r="D289" s="88"/>
      <c r="E289" s="88"/>
      <c r="F289" s="91"/>
      <c r="G289" s="110">
        <f>SUM(G290)</f>
        <v>1155000</v>
      </c>
      <c r="H289" s="110">
        <f>SUM(H290)</f>
        <v>740205</v>
      </c>
      <c r="I289" s="110">
        <f>SUM(I290)</f>
        <v>740205</v>
      </c>
      <c r="J289" s="267">
        <f t="shared" si="15"/>
        <v>1</v>
      </c>
    </row>
    <row r="290" spans="1:10" ht="15.75" customHeight="1">
      <c r="A290" s="90"/>
      <c r="B290" s="91"/>
      <c r="C290" s="91" t="s">
        <v>214</v>
      </c>
      <c r="D290" s="91" t="s">
        <v>364</v>
      </c>
      <c r="E290" s="91"/>
      <c r="F290" s="91"/>
      <c r="G290" s="109">
        <v>1155000</v>
      </c>
      <c r="H290" s="109">
        <v>740205</v>
      </c>
      <c r="I290" s="109">
        <v>740205</v>
      </c>
      <c r="J290" s="268">
        <f>I290/H290</f>
        <v>1</v>
      </c>
    </row>
    <row r="291" spans="1:10" ht="15.75" customHeight="1">
      <c r="A291" s="90"/>
      <c r="B291" s="91"/>
      <c r="C291" s="91"/>
      <c r="D291" s="91"/>
      <c r="E291" s="91"/>
      <c r="F291" s="91"/>
      <c r="G291" s="108"/>
      <c r="H291" s="81"/>
      <c r="I291" s="81"/>
      <c r="J291" s="81"/>
    </row>
    <row r="292" spans="1:10" ht="15.75" customHeight="1">
      <c r="A292" s="84" t="s">
        <v>114</v>
      </c>
      <c r="B292" s="104"/>
      <c r="C292" s="104"/>
      <c r="D292" s="104"/>
      <c r="E292" s="104"/>
      <c r="F292" s="104"/>
      <c r="G292" s="107">
        <f>G293+G302</f>
        <v>3200000</v>
      </c>
      <c r="H292" s="107">
        <f>H293+H302+H304</f>
        <v>5344999</v>
      </c>
      <c r="I292" s="107">
        <f>I293+I302+I304</f>
        <v>5076972</v>
      </c>
      <c r="J292" s="269">
        <f>I292/H292</f>
        <v>0.9498546211140545</v>
      </c>
    </row>
    <row r="293" spans="1:10" ht="15.75" customHeight="1">
      <c r="A293" s="87" t="s">
        <v>27</v>
      </c>
      <c r="B293" s="88"/>
      <c r="C293" s="88" t="s">
        <v>28</v>
      </c>
      <c r="D293" s="88"/>
      <c r="E293" s="88"/>
      <c r="F293" s="91"/>
      <c r="G293" s="110">
        <f>G296+G300+G294</f>
        <v>700000</v>
      </c>
      <c r="H293" s="110">
        <f>H296+H300+H294</f>
        <v>1225000</v>
      </c>
      <c r="I293" s="110">
        <f>I296+I300+I294</f>
        <v>956973</v>
      </c>
      <c r="J293" s="267">
        <f aca="true" t="shared" si="16" ref="J293:J306">I293/H293</f>
        <v>0.7812024489795918</v>
      </c>
    </row>
    <row r="294" spans="1:10" ht="15.75" customHeight="1">
      <c r="A294" s="97"/>
      <c r="B294" s="88" t="s">
        <v>186</v>
      </c>
      <c r="C294" s="98"/>
      <c r="D294" s="88" t="s">
        <v>187</v>
      </c>
      <c r="E294" s="98"/>
      <c r="F294" s="91"/>
      <c r="G294" s="110">
        <f>G295</f>
        <v>20000</v>
      </c>
      <c r="H294" s="110">
        <f>H295</f>
        <v>20000</v>
      </c>
      <c r="I294" s="110">
        <f>I295</f>
        <v>0</v>
      </c>
      <c r="J294" s="268">
        <f t="shared" si="16"/>
        <v>0</v>
      </c>
    </row>
    <row r="295" spans="1:10" ht="15.75" customHeight="1">
      <c r="A295" s="90"/>
      <c r="B295" s="91"/>
      <c r="C295" s="91" t="s">
        <v>190</v>
      </c>
      <c r="D295" s="91" t="s">
        <v>191</v>
      </c>
      <c r="E295" s="91"/>
      <c r="F295" s="91"/>
      <c r="G295" s="108">
        <v>20000</v>
      </c>
      <c r="H295" s="108">
        <v>20000</v>
      </c>
      <c r="I295" s="108">
        <v>0</v>
      </c>
      <c r="J295" s="268">
        <f t="shared" si="16"/>
        <v>0</v>
      </c>
    </row>
    <row r="296" spans="1:10" ht="15.75" customHeight="1">
      <c r="A296" s="97"/>
      <c r="B296" s="88" t="s">
        <v>192</v>
      </c>
      <c r="C296" s="98"/>
      <c r="D296" s="88" t="s">
        <v>193</v>
      </c>
      <c r="E296" s="98"/>
      <c r="F296" s="91"/>
      <c r="G296" s="110">
        <f>G297+G298+G299</f>
        <v>530000</v>
      </c>
      <c r="H296" s="110">
        <f>H297+H298+H299</f>
        <v>1055000</v>
      </c>
      <c r="I296" s="110">
        <f>I297+I298+I299</f>
        <v>868777</v>
      </c>
      <c r="J296" s="267">
        <f t="shared" si="16"/>
        <v>0.823485308056872</v>
      </c>
    </row>
    <row r="297" spans="1:10" ht="15.75" customHeight="1">
      <c r="A297" s="90"/>
      <c r="B297" s="91"/>
      <c r="C297" s="91" t="s">
        <v>194</v>
      </c>
      <c r="D297" s="91" t="s">
        <v>195</v>
      </c>
      <c r="E297" s="91"/>
      <c r="F297" s="91"/>
      <c r="G297" s="108">
        <v>430000</v>
      </c>
      <c r="H297" s="108">
        <v>430000</v>
      </c>
      <c r="I297" s="108">
        <v>332977</v>
      </c>
      <c r="J297" s="268">
        <f t="shared" si="16"/>
        <v>0.7743651162790698</v>
      </c>
    </row>
    <row r="298" spans="1:10" ht="15.75" customHeight="1">
      <c r="A298" s="90"/>
      <c r="B298" s="91"/>
      <c r="C298" s="91" t="s">
        <v>198</v>
      </c>
      <c r="D298" s="91" t="s">
        <v>199</v>
      </c>
      <c r="E298" s="91"/>
      <c r="F298" s="91"/>
      <c r="G298" s="108">
        <v>50000</v>
      </c>
      <c r="H298" s="108">
        <v>575000</v>
      </c>
      <c r="I298" s="108">
        <v>535800</v>
      </c>
      <c r="J298" s="268">
        <f t="shared" si="16"/>
        <v>0.9318260869565217</v>
      </c>
    </row>
    <row r="299" spans="1:10" ht="15.75" customHeight="1">
      <c r="A299" s="90"/>
      <c r="B299" s="91"/>
      <c r="C299" s="91" t="s">
        <v>200</v>
      </c>
      <c r="D299" s="91" t="s">
        <v>201</v>
      </c>
      <c r="E299" s="91"/>
      <c r="F299" s="91"/>
      <c r="G299" s="108">
        <v>50000</v>
      </c>
      <c r="H299" s="108">
        <v>50000</v>
      </c>
      <c r="I299" s="108">
        <v>0</v>
      </c>
      <c r="J299" s="268">
        <f t="shared" si="16"/>
        <v>0</v>
      </c>
    </row>
    <row r="300" spans="1:10" ht="15.75" customHeight="1">
      <c r="A300" s="97"/>
      <c r="B300" s="88" t="s">
        <v>206</v>
      </c>
      <c r="C300" s="98"/>
      <c r="D300" s="88" t="s">
        <v>207</v>
      </c>
      <c r="E300" s="98"/>
      <c r="F300" s="91"/>
      <c r="G300" s="110">
        <f>SUM(G301)</f>
        <v>150000</v>
      </c>
      <c r="H300" s="110">
        <f>SUM(H301)</f>
        <v>150000</v>
      </c>
      <c r="I300" s="110">
        <f>SUM(I301)</f>
        <v>88196</v>
      </c>
      <c r="J300" s="267">
        <f t="shared" si="16"/>
        <v>0.5879733333333333</v>
      </c>
    </row>
    <row r="301" spans="1:10" ht="15.75" customHeight="1">
      <c r="A301" s="90"/>
      <c r="B301" s="91"/>
      <c r="C301" s="91" t="s">
        <v>208</v>
      </c>
      <c r="D301" s="91" t="s">
        <v>209</v>
      </c>
      <c r="E301" s="91"/>
      <c r="F301" s="91"/>
      <c r="G301" s="108">
        <v>150000</v>
      </c>
      <c r="H301" s="108">
        <v>150000</v>
      </c>
      <c r="I301" s="108">
        <v>88196</v>
      </c>
      <c r="J301" s="268">
        <f t="shared" si="16"/>
        <v>0.5879733333333333</v>
      </c>
    </row>
    <row r="302" spans="1:10" ht="15.75" customHeight="1">
      <c r="A302" s="87" t="s">
        <v>31</v>
      </c>
      <c r="B302" s="88"/>
      <c r="C302" s="88" t="s">
        <v>32</v>
      </c>
      <c r="D302" s="88"/>
      <c r="E302" s="88"/>
      <c r="F302" s="91"/>
      <c r="G302" s="110">
        <f>SUM(G303)</f>
        <v>2500000</v>
      </c>
      <c r="H302" s="110">
        <f>SUM(H303)</f>
        <v>2500000</v>
      </c>
      <c r="I302" s="110">
        <f>SUM(I303)</f>
        <v>2500000</v>
      </c>
      <c r="J302" s="267">
        <f t="shared" si="16"/>
        <v>1</v>
      </c>
    </row>
    <row r="303" spans="1:10" ht="15.75" customHeight="1">
      <c r="A303" s="90"/>
      <c r="B303" s="91"/>
      <c r="C303" s="91" t="s">
        <v>214</v>
      </c>
      <c r="D303" s="91" t="s">
        <v>215</v>
      </c>
      <c r="E303" s="91"/>
      <c r="F303" s="91"/>
      <c r="G303" s="108">
        <v>2500000</v>
      </c>
      <c r="H303" s="108">
        <v>2500000</v>
      </c>
      <c r="I303" s="108">
        <v>2500000</v>
      </c>
      <c r="J303" s="268">
        <f t="shared" si="16"/>
        <v>1</v>
      </c>
    </row>
    <row r="304" spans="1:10" ht="15.75" customHeight="1">
      <c r="A304" s="101" t="s">
        <v>34</v>
      </c>
      <c r="B304" s="91"/>
      <c r="C304" s="88" t="s">
        <v>35</v>
      </c>
      <c r="D304" s="91"/>
      <c r="E304" s="91"/>
      <c r="F304" s="91"/>
      <c r="G304" s="108"/>
      <c r="H304" s="110">
        <f>SUM(H305:H306)</f>
        <v>1619999</v>
      </c>
      <c r="I304" s="110">
        <f>SUM(I305:I306)</f>
        <v>1619999</v>
      </c>
      <c r="J304" s="267">
        <f t="shared" si="16"/>
        <v>1</v>
      </c>
    </row>
    <row r="305" spans="1:10" ht="15.75" customHeight="1">
      <c r="A305" s="90"/>
      <c r="B305" s="91" t="s">
        <v>340</v>
      </c>
      <c r="C305" s="91"/>
      <c r="D305" s="91" t="s">
        <v>339</v>
      </c>
      <c r="E305" s="91"/>
      <c r="F305" s="91"/>
      <c r="G305" s="108"/>
      <c r="H305" s="108">
        <v>1275590</v>
      </c>
      <c r="I305" s="108">
        <v>1275590</v>
      </c>
      <c r="J305" s="268">
        <f t="shared" si="16"/>
        <v>1</v>
      </c>
    </row>
    <row r="306" spans="1:10" ht="15.75" customHeight="1">
      <c r="A306" s="90"/>
      <c r="B306" s="91" t="s">
        <v>237</v>
      </c>
      <c r="C306" s="91"/>
      <c r="D306" s="91" t="s">
        <v>238</v>
      </c>
      <c r="E306" s="91"/>
      <c r="F306" s="91"/>
      <c r="G306" s="108"/>
      <c r="H306" s="108">
        <v>344409</v>
      </c>
      <c r="I306" s="108">
        <v>344409</v>
      </c>
      <c r="J306" s="268">
        <f t="shared" si="16"/>
        <v>1</v>
      </c>
    </row>
    <row r="307" spans="1:10" ht="15.75" customHeight="1">
      <c r="A307" s="90"/>
      <c r="B307" s="91"/>
      <c r="C307" s="91"/>
      <c r="D307" s="91"/>
      <c r="E307" s="91"/>
      <c r="F307" s="91"/>
      <c r="G307" s="108"/>
      <c r="H307" s="81"/>
      <c r="I307" s="81"/>
      <c r="J307" s="81"/>
    </row>
    <row r="308" spans="1:10" ht="15.75" customHeight="1">
      <c r="A308" s="84" t="s">
        <v>115</v>
      </c>
      <c r="B308" s="104"/>
      <c r="C308" s="104"/>
      <c r="D308" s="104"/>
      <c r="E308" s="104"/>
      <c r="F308" s="114">
        <v>1</v>
      </c>
      <c r="G308" s="107">
        <f>G309+G319+G322+G337</f>
        <v>27976487.7</v>
      </c>
      <c r="H308" s="107">
        <f>H309+H319+H322+H337</f>
        <v>29395703</v>
      </c>
      <c r="I308" s="107">
        <f>I309+I319+I322+I337</f>
        <v>29123613</v>
      </c>
      <c r="J308" s="269">
        <f>I308/H308</f>
        <v>0.9907438852542496</v>
      </c>
    </row>
    <row r="309" spans="1:10" ht="15.75" customHeight="1">
      <c r="A309" s="87" t="s">
        <v>23</v>
      </c>
      <c r="B309" s="88"/>
      <c r="C309" s="88" t="s">
        <v>158</v>
      </c>
      <c r="D309" s="88"/>
      <c r="E309" s="88"/>
      <c r="F309" s="91"/>
      <c r="G309" s="110">
        <f>G310+G317</f>
        <v>7156484</v>
      </c>
      <c r="H309" s="110">
        <f>H310+H317</f>
        <v>7656678</v>
      </c>
      <c r="I309" s="110">
        <f>I310+I317</f>
        <v>7524051</v>
      </c>
      <c r="J309" s="267">
        <f aca="true" t="shared" si="17" ref="J309:J339">I309/H309</f>
        <v>0.9826782581166401</v>
      </c>
    </row>
    <row r="310" spans="1:10" ht="15.75" customHeight="1">
      <c r="A310" s="90"/>
      <c r="B310" s="88" t="s">
        <v>159</v>
      </c>
      <c r="C310" s="88"/>
      <c r="D310" s="88" t="s">
        <v>160</v>
      </c>
      <c r="E310" s="88"/>
      <c r="F310" s="91"/>
      <c r="G310" s="110">
        <f>SUM(G311:G316)</f>
        <v>7101344</v>
      </c>
      <c r="H310" s="110">
        <f>SUM(H311:H316)</f>
        <v>7656678</v>
      </c>
      <c r="I310" s="110">
        <f>SUM(I311:I316)</f>
        <v>7524051</v>
      </c>
      <c r="J310" s="267">
        <f t="shared" si="17"/>
        <v>0.9826782581166401</v>
      </c>
    </row>
    <row r="311" spans="1:10" ht="15.75" customHeight="1">
      <c r="A311" s="81"/>
      <c r="B311" s="91"/>
      <c r="C311" s="91" t="s">
        <v>161</v>
      </c>
      <c r="D311" s="91" t="s">
        <v>162</v>
      </c>
      <c r="E311" s="91"/>
      <c r="F311" s="91"/>
      <c r="G311" s="108">
        <v>5689788</v>
      </c>
      <c r="H311" s="81">
        <v>5689788</v>
      </c>
      <c r="I311" s="81">
        <v>5589568</v>
      </c>
      <c r="J311" s="268">
        <f t="shared" si="17"/>
        <v>0.9823859869647165</v>
      </c>
    </row>
    <row r="312" spans="1:10" ht="15.75" customHeight="1">
      <c r="A312" s="81"/>
      <c r="B312" s="91"/>
      <c r="C312" s="91" t="s">
        <v>332</v>
      </c>
      <c r="D312" s="91" t="s">
        <v>343</v>
      </c>
      <c r="E312" s="91"/>
      <c r="F312" s="91"/>
      <c r="G312" s="108">
        <v>254000</v>
      </c>
      <c r="H312" s="81">
        <v>254000</v>
      </c>
      <c r="I312" s="81">
        <v>221650</v>
      </c>
      <c r="J312" s="268">
        <f t="shared" si="17"/>
        <v>0.8726377952755906</v>
      </c>
    </row>
    <row r="313" spans="1:10" ht="15.75" customHeight="1">
      <c r="A313" s="81"/>
      <c r="B313" s="91"/>
      <c r="C313" s="91" t="s">
        <v>369</v>
      </c>
      <c r="D313" s="91" t="s">
        <v>370</v>
      </c>
      <c r="E313" s="91"/>
      <c r="F313" s="91"/>
      <c r="G313" s="108">
        <v>886556</v>
      </c>
      <c r="H313" s="81">
        <v>886600</v>
      </c>
      <c r="I313" s="81">
        <v>886600</v>
      </c>
      <c r="J313" s="268">
        <f t="shared" si="17"/>
        <v>1</v>
      </c>
    </row>
    <row r="314" spans="1:10" ht="15.75" customHeight="1">
      <c r="A314" s="90"/>
      <c r="B314" s="91"/>
      <c r="C314" s="91" t="s">
        <v>163</v>
      </c>
      <c r="D314" s="91" t="s">
        <v>164</v>
      </c>
      <c r="E314" s="91"/>
      <c r="F314" s="91"/>
      <c r="G314" s="108">
        <v>151000</v>
      </c>
      <c r="H314" s="81">
        <v>151000</v>
      </c>
      <c r="I314" s="81">
        <v>150943</v>
      </c>
      <c r="J314" s="268">
        <f t="shared" si="17"/>
        <v>0.9996225165562914</v>
      </c>
    </row>
    <row r="315" spans="1:10" ht="15.75" customHeight="1">
      <c r="A315" s="90"/>
      <c r="B315" s="91"/>
      <c r="C315" s="91" t="s">
        <v>267</v>
      </c>
      <c r="D315" s="91" t="s">
        <v>268</v>
      </c>
      <c r="E315" s="91"/>
      <c r="F315" s="91"/>
      <c r="G315" s="108">
        <v>120000</v>
      </c>
      <c r="H315" s="81">
        <v>120150</v>
      </c>
      <c r="I315" s="81">
        <v>120150</v>
      </c>
      <c r="J315" s="268">
        <f t="shared" si="17"/>
        <v>1</v>
      </c>
    </row>
    <row r="316" spans="1:10" ht="15.75" customHeight="1">
      <c r="A316" s="90"/>
      <c r="B316" s="91"/>
      <c r="C316" s="90" t="s">
        <v>230</v>
      </c>
      <c r="D316" s="91" t="s">
        <v>160</v>
      </c>
      <c r="E316" s="91"/>
      <c r="F316" s="91"/>
      <c r="G316" s="108">
        <v>0</v>
      </c>
      <c r="H316" s="81">
        <v>555140</v>
      </c>
      <c r="I316" s="81">
        <v>555140</v>
      </c>
      <c r="J316" s="268">
        <f t="shared" si="17"/>
        <v>1</v>
      </c>
    </row>
    <row r="317" spans="1:10" ht="15.75" customHeight="1">
      <c r="A317" s="87"/>
      <c r="B317" s="88" t="s">
        <v>165</v>
      </c>
      <c r="C317" s="87"/>
      <c r="D317" s="88" t="s">
        <v>269</v>
      </c>
      <c r="E317" s="88"/>
      <c r="F317" s="88"/>
      <c r="G317" s="110">
        <f>G318</f>
        <v>55140</v>
      </c>
      <c r="H317" s="110">
        <f>H318</f>
        <v>0</v>
      </c>
      <c r="I317" s="110">
        <f>I318</f>
        <v>0</v>
      </c>
      <c r="J317" s="268"/>
    </row>
    <row r="318" spans="1:10" ht="15.75" customHeight="1">
      <c r="A318" s="90"/>
      <c r="B318" s="91"/>
      <c r="C318" s="90" t="s">
        <v>262</v>
      </c>
      <c r="D318" s="91" t="s">
        <v>270</v>
      </c>
      <c r="E318" s="91"/>
      <c r="F318" s="91"/>
      <c r="G318" s="108">
        <v>55140</v>
      </c>
      <c r="H318" s="81">
        <v>0</v>
      </c>
      <c r="I318" s="81">
        <v>0</v>
      </c>
      <c r="J318" s="268"/>
    </row>
    <row r="319" spans="1:10" ht="15.75" customHeight="1">
      <c r="A319" s="87" t="s">
        <v>25</v>
      </c>
      <c r="B319" s="88"/>
      <c r="C319" s="88" t="s">
        <v>175</v>
      </c>
      <c r="D319" s="95"/>
      <c r="E319" s="95"/>
      <c r="F319" s="91"/>
      <c r="G319" s="110">
        <f>SUM(G320:G321)</f>
        <v>1275034.7</v>
      </c>
      <c r="H319" s="110">
        <f>SUM(H320:H321)</f>
        <v>1275035</v>
      </c>
      <c r="I319" s="110">
        <f>SUM(I320:I321)</f>
        <v>1242295</v>
      </c>
      <c r="J319" s="267">
        <f t="shared" si="17"/>
        <v>0.9743222735062175</v>
      </c>
    </row>
    <row r="320" spans="1:10" ht="15.75" customHeight="1">
      <c r="A320" s="90"/>
      <c r="B320" s="91"/>
      <c r="C320" s="91"/>
      <c r="D320" s="93" t="s">
        <v>176</v>
      </c>
      <c r="E320" s="91"/>
      <c r="F320" s="91"/>
      <c r="G320" s="108">
        <f>(G310+G317)*0.175</f>
        <v>1252384.7</v>
      </c>
      <c r="H320" s="81">
        <v>1252385</v>
      </c>
      <c r="I320" s="81">
        <v>1219654</v>
      </c>
      <c r="J320" s="268">
        <f t="shared" si="17"/>
        <v>0.9738650654551116</v>
      </c>
    </row>
    <row r="321" spans="1:10" ht="15.75" customHeight="1">
      <c r="A321" s="90"/>
      <c r="B321" s="91"/>
      <c r="C321" s="91"/>
      <c r="D321" s="93" t="s">
        <v>177</v>
      </c>
      <c r="E321" s="91"/>
      <c r="F321" s="91"/>
      <c r="G321" s="108">
        <f>G314*0.15</f>
        <v>22650</v>
      </c>
      <c r="H321" s="81">
        <v>22650</v>
      </c>
      <c r="I321" s="81">
        <v>22641</v>
      </c>
      <c r="J321" s="268">
        <f t="shared" si="17"/>
        <v>0.9996026490066225</v>
      </c>
    </row>
    <row r="322" spans="1:10" ht="15.75" customHeight="1">
      <c r="A322" s="87" t="s">
        <v>27</v>
      </c>
      <c r="B322" s="88"/>
      <c r="C322" s="88" t="s">
        <v>28</v>
      </c>
      <c r="D322" s="88"/>
      <c r="E322" s="88"/>
      <c r="F322" s="91"/>
      <c r="G322" s="110">
        <f>G323+G326+G329+G333+G335</f>
        <v>1290000</v>
      </c>
      <c r="H322" s="110">
        <f>H323+H326+H329+H333+H335</f>
        <v>1850336</v>
      </c>
      <c r="I322" s="110">
        <f>I323+I326+I329+I333+I335</f>
        <v>1743613</v>
      </c>
      <c r="J322" s="267">
        <f t="shared" si="17"/>
        <v>0.9423223673970565</v>
      </c>
    </row>
    <row r="323" spans="1:10" ht="15.75" customHeight="1">
      <c r="A323" s="97"/>
      <c r="B323" s="88" t="s">
        <v>178</v>
      </c>
      <c r="C323" s="98"/>
      <c r="D323" s="88" t="s">
        <v>179</v>
      </c>
      <c r="E323" s="99"/>
      <c r="F323" s="91"/>
      <c r="G323" s="110">
        <f>G324+G325</f>
        <v>280000</v>
      </c>
      <c r="H323" s="110">
        <f>H324+H325</f>
        <v>190000</v>
      </c>
      <c r="I323" s="110">
        <f>I324+I325</f>
        <v>161991</v>
      </c>
      <c r="J323" s="267">
        <f t="shared" si="17"/>
        <v>0.8525842105263158</v>
      </c>
    </row>
    <row r="324" spans="1:10" ht="15.75" customHeight="1">
      <c r="A324" s="90"/>
      <c r="B324" s="91"/>
      <c r="C324" s="91" t="s">
        <v>180</v>
      </c>
      <c r="D324" s="91" t="s">
        <v>181</v>
      </c>
      <c r="E324" s="97"/>
      <c r="F324" s="91"/>
      <c r="G324" s="108">
        <v>160000</v>
      </c>
      <c r="H324" s="81">
        <v>70000</v>
      </c>
      <c r="I324" s="81">
        <v>67200</v>
      </c>
      <c r="J324" s="268">
        <f t="shared" si="17"/>
        <v>0.96</v>
      </c>
    </row>
    <row r="325" spans="1:10" ht="15.75" customHeight="1">
      <c r="A325" s="90"/>
      <c r="B325" s="91"/>
      <c r="C325" s="91" t="s">
        <v>183</v>
      </c>
      <c r="D325" s="91" t="s">
        <v>184</v>
      </c>
      <c r="E325" s="91"/>
      <c r="F325" s="91"/>
      <c r="G325" s="108">
        <v>120000</v>
      </c>
      <c r="H325" s="81">
        <v>120000</v>
      </c>
      <c r="I325" s="81">
        <v>94791</v>
      </c>
      <c r="J325" s="268">
        <f t="shared" si="17"/>
        <v>0.789925</v>
      </c>
    </row>
    <row r="326" spans="1:10" ht="15.75" customHeight="1">
      <c r="A326" s="97"/>
      <c r="B326" s="88" t="s">
        <v>186</v>
      </c>
      <c r="C326" s="98"/>
      <c r="D326" s="88" t="s">
        <v>187</v>
      </c>
      <c r="E326" s="98"/>
      <c r="F326" s="91"/>
      <c r="G326" s="110">
        <f>G327+G328</f>
        <v>170000</v>
      </c>
      <c r="H326" s="110">
        <f>H327+H328</f>
        <v>302000</v>
      </c>
      <c r="I326" s="110">
        <f>I327+I328</f>
        <v>287967</v>
      </c>
      <c r="J326" s="267">
        <f t="shared" si="17"/>
        <v>0.9535331125827815</v>
      </c>
    </row>
    <row r="327" spans="1:10" ht="15.75" customHeight="1">
      <c r="A327" s="90"/>
      <c r="B327" s="91"/>
      <c r="C327" s="91" t="s">
        <v>188</v>
      </c>
      <c r="D327" s="91" t="s">
        <v>189</v>
      </c>
      <c r="E327" s="91"/>
      <c r="F327" s="91"/>
      <c r="G327" s="108">
        <v>20000</v>
      </c>
      <c r="H327" s="81">
        <v>20000</v>
      </c>
      <c r="I327" s="81">
        <v>6142</v>
      </c>
      <c r="J327" s="268">
        <f t="shared" si="17"/>
        <v>0.3071</v>
      </c>
    </row>
    <row r="328" spans="1:10" ht="15.75" customHeight="1">
      <c r="A328" s="90"/>
      <c r="B328" s="91"/>
      <c r="C328" s="91" t="s">
        <v>190</v>
      </c>
      <c r="D328" s="91" t="s">
        <v>191</v>
      </c>
      <c r="E328" s="91"/>
      <c r="F328" s="91"/>
      <c r="G328" s="108">
        <v>150000</v>
      </c>
      <c r="H328" s="81">
        <v>282000</v>
      </c>
      <c r="I328" s="81">
        <v>281825</v>
      </c>
      <c r="J328" s="268">
        <f t="shared" si="17"/>
        <v>0.9993794326241134</v>
      </c>
    </row>
    <row r="329" spans="1:10" ht="15.75" customHeight="1">
      <c r="A329" s="97"/>
      <c r="B329" s="88" t="s">
        <v>192</v>
      </c>
      <c r="C329" s="98"/>
      <c r="D329" s="88" t="s">
        <v>193</v>
      </c>
      <c r="E329" s="98"/>
      <c r="F329" s="91"/>
      <c r="G329" s="110">
        <f>G330+G331+G332</f>
        <v>630000</v>
      </c>
      <c r="H329" s="110">
        <f>H330+H331+H332</f>
        <v>1056921</v>
      </c>
      <c r="I329" s="110">
        <f>I330+I331+I332</f>
        <v>1002240</v>
      </c>
      <c r="J329" s="267">
        <f t="shared" si="17"/>
        <v>0.9482638721342466</v>
      </c>
    </row>
    <row r="330" spans="1:10" ht="15.75" customHeight="1">
      <c r="A330" s="90"/>
      <c r="B330" s="91"/>
      <c r="C330" s="91" t="s">
        <v>194</v>
      </c>
      <c r="D330" s="91" t="s">
        <v>195</v>
      </c>
      <c r="E330" s="91"/>
      <c r="F330" s="91"/>
      <c r="G330" s="108">
        <v>300000</v>
      </c>
      <c r="H330" s="81">
        <v>300000</v>
      </c>
      <c r="I330" s="81">
        <v>280519</v>
      </c>
      <c r="J330" s="268">
        <f t="shared" si="17"/>
        <v>0.9350633333333334</v>
      </c>
    </row>
    <row r="331" spans="1:10" ht="15.75" customHeight="1">
      <c r="A331" s="90"/>
      <c r="B331" s="91"/>
      <c r="C331" s="91" t="s">
        <v>198</v>
      </c>
      <c r="D331" s="91" t="s">
        <v>199</v>
      </c>
      <c r="E331" s="91"/>
      <c r="F331" s="91"/>
      <c r="G331" s="108">
        <v>50000</v>
      </c>
      <c r="H331" s="81">
        <v>50000</v>
      </c>
      <c r="I331" s="81">
        <v>14800</v>
      </c>
      <c r="J331" s="268">
        <f t="shared" si="17"/>
        <v>0.296</v>
      </c>
    </row>
    <row r="332" spans="1:10" ht="15.75" customHeight="1">
      <c r="A332" s="90"/>
      <c r="B332" s="91"/>
      <c r="C332" s="91" t="s">
        <v>200</v>
      </c>
      <c r="D332" s="91" t="s">
        <v>201</v>
      </c>
      <c r="E332" s="91"/>
      <c r="F332" s="91"/>
      <c r="G332" s="108">
        <v>280000</v>
      </c>
      <c r="H332" s="81">
        <v>706921</v>
      </c>
      <c r="I332" s="81">
        <v>706921</v>
      </c>
      <c r="J332" s="268">
        <f t="shared" si="17"/>
        <v>1</v>
      </c>
    </row>
    <row r="333" spans="1:10" ht="15.75" customHeight="1">
      <c r="A333" s="97"/>
      <c r="B333" s="88" t="s">
        <v>202</v>
      </c>
      <c r="C333" s="98"/>
      <c r="D333" s="88" t="s">
        <v>203</v>
      </c>
      <c r="E333" s="98"/>
      <c r="F333" s="91"/>
      <c r="G333" s="110">
        <f>G334</f>
        <v>10000</v>
      </c>
      <c r="H333" s="110">
        <f>H334</f>
        <v>10000</v>
      </c>
      <c r="I333" s="110">
        <f>I334</f>
        <v>0</v>
      </c>
      <c r="J333" s="268">
        <f t="shared" si="17"/>
        <v>0</v>
      </c>
    </row>
    <row r="334" spans="1:10" ht="15.75" customHeight="1">
      <c r="A334" s="90"/>
      <c r="B334" s="91"/>
      <c r="C334" s="91" t="s">
        <v>204</v>
      </c>
      <c r="D334" s="91" t="s">
        <v>205</v>
      </c>
      <c r="E334" s="91"/>
      <c r="F334" s="91"/>
      <c r="G334" s="108">
        <v>10000</v>
      </c>
      <c r="H334" s="81">
        <v>10000</v>
      </c>
      <c r="I334" s="81">
        <v>0</v>
      </c>
      <c r="J334" s="268">
        <f t="shared" si="17"/>
        <v>0</v>
      </c>
    </row>
    <row r="335" spans="1:10" ht="15.75" customHeight="1">
      <c r="A335" s="97"/>
      <c r="B335" s="88" t="s">
        <v>206</v>
      </c>
      <c r="C335" s="98"/>
      <c r="D335" s="88" t="s">
        <v>207</v>
      </c>
      <c r="E335" s="98"/>
      <c r="F335" s="91"/>
      <c r="G335" s="110">
        <f>G336</f>
        <v>200000</v>
      </c>
      <c r="H335" s="110">
        <f>H336</f>
        <v>291415</v>
      </c>
      <c r="I335" s="110">
        <f>I336</f>
        <v>291415</v>
      </c>
      <c r="J335" s="267">
        <f t="shared" si="17"/>
        <v>1</v>
      </c>
    </row>
    <row r="336" spans="1:10" ht="15.75" customHeight="1">
      <c r="A336" s="90"/>
      <c r="B336" s="91"/>
      <c r="C336" s="91" t="s">
        <v>208</v>
      </c>
      <c r="D336" s="91" t="s">
        <v>209</v>
      </c>
      <c r="E336" s="91"/>
      <c r="F336" s="91"/>
      <c r="G336" s="108">
        <v>200000</v>
      </c>
      <c r="H336" s="108">
        <v>291415</v>
      </c>
      <c r="I336" s="108">
        <v>291415</v>
      </c>
      <c r="J336" s="268">
        <f t="shared" si="17"/>
        <v>1</v>
      </c>
    </row>
    <row r="337" spans="1:10" ht="15.75" customHeight="1">
      <c r="A337" s="113" t="s">
        <v>36</v>
      </c>
      <c r="B337" s="113"/>
      <c r="C337" s="113" t="s">
        <v>37</v>
      </c>
      <c r="D337" s="81"/>
      <c r="E337" s="91"/>
      <c r="F337" s="91"/>
      <c r="G337" s="110">
        <f>SUM(G338:G339)</f>
        <v>18254969</v>
      </c>
      <c r="H337" s="110">
        <f>SUM(H338:H339)</f>
        <v>18613654</v>
      </c>
      <c r="I337" s="110">
        <f>SUM(I338:I339)</f>
        <v>18613654</v>
      </c>
      <c r="J337" s="267">
        <f t="shared" si="17"/>
        <v>1</v>
      </c>
    </row>
    <row r="338" spans="1:10" ht="15.75" customHeight="1">
      <c r="A338" s="81"/>
      <c r="B338" s="113" t="s">
        <v>247</v>
      </c>
      <c r="C338" s="81"/>
      <c r="D338" s="81" t="s">
        <v>373</v>
      </c>
      <c r="E338" s="91"/>
      <c r="F338" s="91"/>
      <c r="G338" s="108">
        <v>14373963</v>
      </c>
      <c r="H338" s="108">
        <v>14672365</v>
      </c>
      <c r="I338" s="108">
        <v>14672365</v>
      </c>
      <c r="J338" s="268">
        <f t="shared" si="17"/>
        <v>1</v>
      </c>
    </row>
    <row r="339" spans="1:10" ht="15.75" customHeight="1">
      <c r="A339" s="81"/>
      <c r="B339" s="113" t="s">
        <v>249</v>
      </c>
      <c r="C339" s="81"/>
      <c r="D339" s="81" t="s">
        <v>250</v>
      </c>
      <c r="E339" s="91"/>
      <c r="F339" s="91"/>
      <c r="G339" s="108">
        <v>3881006</v>
      </c>
      <c r="H339" s="108">
        <v>3941289</v>
      </c>
      <c r="I339" s="108">
        <v>3941289</v>
      </c>
      <c r="J339" s="268">
        <f t="shared" si="17"/>
        <v>1</v>
      </c>
    </row>
    <row r="340" spans="1:10" ht="15.75" customHeight="1">
      <c r="A340" s="81"/>
      <c r="B340" s="113"/>
      <c r="C340" s="81"/>
      <c r="D340" s="81"/>
      <c r="E340" s="91"/>
      <c r="F340" s="91"/>
      <c r="G340" s="108"/>
      <c r="H340" s="108"/>
      <c r="I340" s="108"/>
      <c r="J340" s="108"/>
    </row>
    <row r="341" spans="1:10" ht="15.75" customHeight="1">
      <c r="A341" s="84" t="s">
        <v>393</v>
      </c>
      <c r="B341" s="104"/>
      <c r="C341" s="104"/>
      <c r="D341" s="104"/>
      <c r="E341" s="104"/>
      <c r="F341" s="104"/>
      <c r="G341" s="107">
        <f>SUM(G342)</f>
        <v>0</v>
      </c>
      <c r="H341" s="107">
        <f>SUM(H342)</f>
        <v>488952</v>
      </c>
      <c r="I341" s="107">
        <f>SUM(I342)</f>
        <v>488952</v>
      </c>
      <c r="J341" s="269">
        <f>I341/H341</f>
        <v>1</v>
      </c>
    </row>
    <row r="342" spans="1:10" ht="15.75" customHeight="1">
      <c r="A342" s="87" t="s">
        <v>27</v>
      </c>
      <c r="B342" s="88"/>
      <c r="C342" s="88" t="s">
        <v>28</v>
      </c>
      <c r="D342" s="88"/>
      <c r="E342" s="91"/>
      <c r="F342" s="91"/>
      <c r="G342" s="108"/>
      <c r="H342" s="108">
        <f>H343+H345+H347</f>
        <v>488952</v>
      </c>
      <c r="I342" s="108">
        <f>I343+I345+I347</f>
        <v>488952</v>
      </c>
      <c r="J342" s="268">
        <f aca="true" t="shared" si="18" ref="J342:J348">I342/H342</f>
        <v>1</v>
      </c>
    </row>
    <row r="343" spans="1:10" ht="15.75" customHeight="1">
      <c r="A343" s="97"/>
      <c r="B343" s="88" t="s">
        <v>178</v>
      </c>
      <c r="C343" s="98"/>
      <c r="D343" s="88" t="s">
        <v>179</v>
      </c>
      <c r="E343" s="91"/>
      <c r="F343" s="91"/>
      <c r="G343" s="108"/>
      <c r="H343" s="108">
        <f>SUM(H344)</f>
        <v>237600</v>
      </c>
      <c r="I343" s="108">
        <f>SUM(I344)</f>
        <v>237600</v>
      </c>
      <c r="J343" s="268">
        <f t="shared" si="18"/>
        <v>1</v>
      </c>
    </row>
    <row r="344" spans="1:10" ht="15.75" customHeight="1">
      <c r="A344" s="90"/>
      <c r="B344" s="91"/>
      <c r="C344" s="91" t="s">
        <v>183</v>
      </c>
      <c r="D344" s="91" t="s">
        <v>184</v>
      </c>
      <c r="E344" s="91"/>
      <c r="F344" s="91"/>
      <c r="G344" s="108"/>
      <c r="H344" s="108">
        <v>237600</v>
      </c>
      <c r="I344" s="108">
        <v>237600</v>
      </c>
      <c r="J344" s="268">
        <f t="shared" si="18"/>
        <v>1</v>
      </c>
    </row>
    <row r="345" spans="1:10" ht="15.75" customHeight="1">
      <c r="A345" s="90"/>
      <c r="B345" s="88" t="s">
        <v>192</v>
      </c>
      <c r="C345" s="98"/>
      <c r="D345" s="88" t="s">
        <v>193</v>
      </c>
      <c r="E345" s="91"/>
      <c r="F345" s="91"/>
      <c r="G345" s="108"/>
      <c r="H345" s="108">
        <f>SUM(H346)</f>
        <v>187200</v>
      </c>
      <c r="I345" s="108">
        <f>SUM(I346)</f>
        <v>187200</v>
      </c>
      <c r="J345" s="268">
        <f t="shared" si="18"/>
        <v>1</v>
      </c>
    </row>
    <row r="346" spans="1:10" ht="15.75" customHeight="1">
      <c r="A346" s="90"/>
      <c r="B346" s="91"/>
      <c r="C346" s="91" t="s">
        <v>200</v>
      </c>
      <c r="D346" s="91" t="s">
        <v>201</v>
      </c>
      <c r="E346" s="91"/>
      <c r="F346" s="91"/>
      <c r="G346" s="108"/>
      <c r="H346" s="108">
        <v>187200</v>
      </c>
      <c r="I346" s="108">
        <v>187200</v>
      </c>
      <c r="J346" s="268">
        <f t="shared" si="18"/>
        <v>1</v>
      </c>
    </row>
    <row r="347" spans="1:10" ht="15.75" customHeight="1">
      <c r="A347" s="90"/>
      <c r="B347" s="88" t="s">
        <v>206</v>
      </c>
      <c r="C347" s="98"/>
      <c r="D347" s="88" t="s">
        <v>207</v>
      </c>
      <c r="E347" s="91"/>
      <c r="F347" s="91"/>
      <c r="G347" s="108"/>
      <c r="H347" s="108">
        <f>SUM(H348)</f>
        <v>64152</v>
      </c>
      <c r="I347" s="108">
        <f>SUM(I348)</f>
        <v>64152</v>
      </c>
      <c r="J347" s="268">
        <f t="shared" si="18"/>
        <v>1</v>
      </c>
    </row>
    <row r="348" spans="1:10" ht="15.75" customHeight="1">
      <c r="A348" s="90"/>
      <c r="B348" s="91"/>
      <c r="C348" s="91" t="s">
        <v>208</v>
      </c>
      <c r="D348" s="91" t="s">
        <v>209</v>
      </c>
      <c r="E348" s="91"/>
      <c r="F348" s="91"/>
      <c r="G348" s="108"/>
      <c r="H348" s="108">
        <v>64152</v>
      </c>
      <c r="I348" s="108">
        <v>64152</v>
      </c>
      <c r="J348" s="268">
        <f t="shared" si="18"/>
        <v>1</v>
      </c>
    </row>
    <row r="349" spans="1:10" ht="15.75" customHeight="1">
      <c r="A349" s="90"/>
      <c r="B349" s="91"/>
      <c r="C349" s="91"/>
      <c r="D349" s="91"/>
      <c r="E349" s="91"/>
      <c r="F349" s="91"/>
      <c r="G349" s="108"/>
      <c r="H349" s="81"/>
      <c r="I349" s="81"/>
      <c r="J349" s="81"/>
    </row>
    <row r="350" spans="1:10" ht="15.75" customHeight="1">
      <c r="A350" s="90"/>
      <c r="B350" s="91"/>
      <c r="C350" s="91"/>
      <c r="D350" s="91"/>
      <c r="E350" s="91"/>
      <c r="F350" s="91"/>
      <c r="G350" s="108"/>
      <c r="H350" s="81"/>
      <c r="I350" s="81"/>
      <c r="J350" s="81"/>
    </row>
    <row r="351" spans="1:10" ht="15.75" customHeight="1">
      <c r="A351" s="84" t="s">
        <v>271</v>
      </c>
      <c r="B351" s="104"/>
      <c r="C351" s="104"/>
      <c r="D351" s="104"/>
      <c r="E351" s="104"/>
      <c r="F351" s="104"/>
      <c r="G351" s="107">
        <f>SUM(G352)</f>
        <v>1020000</v>
      </c>
      <c r="H351" s="107">
        <f>H352+H361</f>
        <v>1836340</v>
      </c>
      <c r="I351" s="107">
        <f>I352+I361</f>
        <v>1123413</v>
      </c>
      <c r="J351" s="269">
        <f>I351/H351</f>
        <v>0.6117674286896762</v>
      </c>
    </row>
    <row r="352" spans="1:10" ht="15.75" customHeight="1">
      <c r="A352" s="87" t="s">
        <v>27</v>
      </c>
      <c r="B352" s="88"/>
      <c r="C352" s="88" t="s">
        <v>28</v>
      </c>
      <c r="D352" s="88"/>
      <c r="E352" s="88"/>
      <c r="F352" s="88"/>
      <c r="G352" s="110">
        <f>G353+G355+G359</f>
        <v>1020000</v>
      </c>
      <c r="H352" s="110">
        <f>H353+H355+H359</f>
        <v>1033912</v>
      </c>
      <c r="I352" s="110">
        <f>I353+I355+I359</f>
        <v>320985</v>
      </c>
      <c r="J352" s="267">
        <f aca="true" t="shared" si="19" ref="J352:J362">I352/H352</f>
        <v>0.31045678935924914</v>
      </c>
    </row>
    <row r="353" spans="1:10" ht="15.75" customHeight="1">
      <c r="A353" s="97"/>
      <c r="B353" s="88" t="s">
        <v>178</v>
      </c>
      <c r="C353" s="98"/>
      <c r="D353" s="88" t="s">
        <v>179</v>
      </c>
      <c r="E353" s="99"/>
      <c r="F353" s="88"/>
      <c r="G353" s="108">
        <f>G354</f>
        <v>20000</v>
      </c>
      <c r="H353" s="108">
        <f>H354</f>
        <v>33912</v>
      </c>
      <c r="I353" s="108">
        <f>I354</f>
        <v>33912</v>
      </c>
      <c r="J353" s="268">
        <f t="shared" si="19"/>
        <v>1</v>
      </c>
    </row>
    <row r="354" spans="1:10" ht="15.75" customHeight="1">
      <c r="A354" s="90"/>
      <c r="B354" s="91"/>
      <c r="C354" s="91" t="s">
        <v>183</v>
      </c>
      <c r="D354" s="91" t="s">
        <v>184</v>
      </c>
      <c r="E354" s="91"/>
      <c r="F354" s="91"/>
      <c r="G354" s="108">
        <v>20000</v>
      </c>
      <c r="H354" s="108">
        <v>33912</v>
      </c>
      <c r="I354" s="108">
        <v>33912</v>
      </c>
      <c r="J354" s="268">
        <f t="shared" si="19"/>
        <v>1</v>
      </c>
    </row>
    <row r="355" spans="1:10" ht="15.75" customHeight="1">
      <c r="A355" s="97"/>
      <c r="B355" s="88" t="s">
        <v>192</v>
      </c>
      <c r="C355" s="98"/>
      <c r="D355" s="88" t="s">
        <v>193</v>
      </c>
      <c r="E355" s="98"/>
      <c r="F355" s="91"/>
      <c r="G355" s="110">
        <f>G356+G357+G358</f>
        <v>800000</v>
      </c>
      <c r="H355" s="110">
        <f>H356+H357+H358</f>
        <v>800000</v>
      </c>
      <c r="I355" s="110">
        <f>I356+I357+I358</f>
        <v>219506</v>
      </c>
      <c r="J355" s="267">
        <f t="shared" si="19"/>
        <v>0.2743825</v>
      </c>
    </row>
    <row r="356" spans="1:10" ht="15.75" customHeight="1">
      <c r="A356" s="90"/>
      <c r="B356" s="91"/>
      <c r="C356" s="91" t="s">
        <v>194</v>
      </c>
      <c r="D356" s="91" t="s">
        <v>195</v>
      </c>
      <c r="E356" s="91"/>
      <c r="F356" s="91"/>
      <c r="G356" s="108">
        <v>500000</v>
      </c>
      <c r="H356" s="108">
        <v>500000</v>
      </c>
      <c r="I356" s="108">
        <v>162841</v>
      </c>
      <c r="J356" s="268">
        <f t="shared" si="19"/>
        <v>0.325682</v>
      </c>
    </row>
    <row r="357" spans="1:10" ht="15.75" customHeight="1">
      <c r="A357" s="90"/>
      <c r="B357" s="91"/>
      <c r="C357" s="91" t="s">
        <v>198</v>
      </c>
      <c r="D357" s="91" t="s">
        <v>199</v>
      </c>
      <c r="E357" s="91"/>
      <c r="F357" s="91"/>
      <c r="G357" s="108">
        <v>200000</v>
      </c>
      <c r="H357" s="108">
        <v>200000</v>
      </c>
      <c r="I357" s="108">
        <v>56665</v>
      </c>
      <c r="J357" s="268">
        <f t="shared" si="19"/>
        <v>0.283325</v>
      </c>
    </row>
    <row r="358" spans="1:10" ht="15.75" customHeight="1">
      <c r="A358" s="90"/>
      <c r="B358" s="91"/>
      <c r="C358" s="91" t="s">
        <v>200</v>
      </c>
      <c r="D358" s="91" t="s">
        <v>201</v>
      </c>
      <c r="E358" s="91"/>
      <c r="F358" s="91"/>
      <c r="G358" s="108">
        <v>100000</v>
      </c>
      <c r="H358" s="108">
        <v>100000</v>
      </c>
      <c r="I358" s="108">
        <v>0</v>
      </c>
      <c r="J358" s="268">
        <f t="shared" si="19"/>
        <v>0</v>
      </c>
    </row>
    <row r="359" spans="1:10" ht="15.75" customHeight="1">
      <c r="A359" s="97"/>
      <c r="B359" s="88" t="s">
        <v>206</v>
      </c>
      <c r="C359" s="98"/>
      <c r="D359" s="88" t="s">
        <v>207</v>
      </c>
      <c r="E359" s="98"/>
      <c r="F359" s="91"/>
      <c r="G359" s="110">
        <f>G360</f>
        <v>200000</v>
      </c>
      <c r="H359" s="110">
        <f>H360</f>
        <v>200000</v>
      </c>
      <c r="I359" s="110">
        <f>I360</f>
        <v>67567</v>
      </c>
      <c r="J359" s="267">
        <f t="shared" si="19"/>
        <v>0.337835</v>
      </c>
    </row>
    <row r="360" spans="1:10" ht="15.75" customHeight="1">
      <c r="A360" s="90"/>
      <c r="B360" s="91"/>
      <c r="C360" s="91" t="s">
        <v>208</v>
      </c>
      <c r="D360" s="91" t="s">
        <v>209</v>
      </c>
      <c r="E360" s="91"/>
      <c r="F360" s="91"/>
      <c r="G360" s="108">
        <v>200000</v>
      </c>
      <c r="H360" s="108">
        <v>200000</v>
      </c>
      <c r="I360" s="108">
        <v>67567</v>
      </c>
      <c r="J360" s="268">
        <f t="shared" si="19"/>
        <v>0.337835</v>
      </c>
    </row>
    <row r="361" spans="1:10" s="77" customFormat="1" ht="15.75" customHeight="1">
      <c r="A361" s="87" t="s">
        <v>36</v>
      </c>
      <c r="B361" s="88"/>
      <c r="C361" s="88" t="s">
        <v>450</v>
      </c>
      <c r="D361" s="88"/>
      <c r="E361" s="88"/>
      <c r="F361" s="88"/>
      <c r="G361" s="110"/>
      <c r="H361" s="110">
        <f>SUM(H362)</f>
        <v>802428</v>
      </c>
      <c r="I361" s="110">
        <f>SUM(I362)</f>
        <v>802428</v>
      </c>
      <c r="J361" s="267">
        <f t="shared" si="19"/>
        <v>1</v>
      </c>
    </row>
    <row r="362" spans="1:10" ht="15.75" customHeight="1">
      <c r="A362" s="90"/>
      <c r="B362" s="88" t="s">
        <v>247</v>
      </c>
      <c r="C362" s="91"/>
      <c r="D362" s="91" t="s">
        <v>450</v>
      </c>
      <c r="E362" s="91"/>
      <c r="F362" s="91"/>
      <c r="G362" s="108"/>
      <c r="H362" s="108">
        <v>802428</v>
      </c>
      <c r="I362" s="108">
        <v>802428</v>
      </c>
      <c r="J362" s="268">
        <f t="shared" si="19"/>
        <v>1</v>
      </c>
    </row>
    <row r="363" spans="1:10" ht="15.75" customHeight="1">
      <c r="A363" s="90"/>
      <c r="B363" s="91"/>
      <c r="C363" s="91"/>
      <c r="D363" s="91"/>
      <c r="E363" s="91"/>
      <c r="F363" s="91"/>
      <c r="G363" s="108"/>
      <c r="H363" s="81"/>
      <c r="I363" s="81"/>
      <c r="J363" s="81"/>
    </row>
    <row r="364" spans="1:10" ht="15.75" customHeight="1">
      <c r="A364" s="84" t="s">
        <v>272</v>
      </c>
      <c r="B364" s="104"/>
      <c r="C364" s="104"/>
      <c r="D364" s="104"/>
      <c r="E364" s="104"/>
      <c r="F364" s="104"/>
      <c r="G364" s="107">
        <f>SUM(G365)</f>
        <v>2000000</v>
      </c>
      <c r="H364" s="107">
        <f>SUM(H365)</f>
        <v>0</v>
      </c>
      <c r="I364" s="107">
        <f>SUM(I365)</f>
        <v>0</v>
      </c>
      <c r="J364" s="266"/>
    </row>
    <row r="365" spans="1:10" ht="15.75" customHeight="1">
      <c r="A365" s="87" t="s">
        <v>31</v>
      </c>
      <c r="B365" s="88"/>
      <c r="C365" s="88" t="s">
        <v>32</v>
      </c>
      <c r="D365" s="88"/>
      <c r="E365" s="88"/>
      <c r="F365" s="91"/>
      <c r="G365" s="108">
        <f>G366</f>
        <v>2000000</v>
      </c>
      <c r="H365" s="108">
        <f>H366</f>
        <v>0</v>
      </c>
      <c r="I365" s="108">
        <f>I366</f>
        <v>0</v>
      </c>
      <c r="J365" s="108"/>
    </row>
    <row r="366" spans="1:10" ht="15.75" customHeight="1">
      <c r="A366" s="90"/>
      <c r="B366" s="91"/>
      <c r="C366" s="91" t="s">
        <v>214</v>
      </c>
      <c r="D366" s="91" t="s">
        <v>215</v>
      </c>
      <c r="E366" s="91"/>
      <c r="F366" s="91"/>
      <c r="G366" s="109">
        <v>2000000</v>
      </c>
      <c r="H366" s="81">
        <v>0</v>
      </c>
      <c r="I366" s="81">
        <v>0</v>
      </c>
      <c r="J366" s="81"/>
    </row>
    <row r="367" spans="1:10" ht="15.75" customHeight="1">
      <c r="A367" s="90"/>
      <c r="B367" s="91"/>
      <c r="C367" s="91"/>
      <c r="D367" s="91"/>
      <c r="E367" s="91"/>
      <c r="F367" s="91"/>
      <c r="G367" s="109"/>
      <c r="H367" s="81"/>
      <c r="I367" s="81"/>
      <c r="J367" s="81"/>
    </row>
    <row r="368" spans="1:10" ht="15.75" customHeight="1">
      <c r="A368" s="84" t="s">
        <v>116</v>
      </c>
      <c r="B368" s="104"/>
      <c r="C368" s="104"/>
      <c r="D368" s="104"/>
      <c r="E368" s="104"/>
      <c r="F368" s="114">
        <v>5</v>
      </c>
      <c r="G368" s="107">
        <f>G369+G380+G384+G403+G399</f>
        <v>159785481</v>
      </c>
      <c r="H368" s="107">
        <f>H369+H380+H384+H403+H399</f>
        <v>156621456</v>
      </c>
      <c r="I368" s="107">
        <f>I369+I380+I384+I403+I399</f>
        <v>155003253</v>
      </c>
      <c r="J368" s="269">
        <f>I368/H368</f>
        <v>0.9896680631036913</v>
      </c>
    </row>
    <row r="369" spans="1:10" ht="15.75" customHeight="1">
      <c r="A369" s="87" t="s">
        <v>23</v>
      </c>
      <c r="B369" s="88"/>
      <c r="C369" s="88" t="s">
        <v>158</v>
      </c>
      <c r="D369" s="88"/>
      <c r="E369" s="88"/>
      <c r="F369" s="91"/>
      <c r="G369" s="110">
        <f>G370+G377</f>
        <v>15156176</v>
      </c>
      <c r="H369" s="110">
        <f>H370+H377</f>
        <v>13423485</v>
      </c>
      <c r="I369" s="110">
        <f>I370+I377</f>
        <v>13192008</v>
      </c>
      <c r="J369" s="267">
        <f aca="true" t="shared" si="20" ref="J369:J405">I369/H369</f>
        <v>0.982755819371795</v>
      </c>
    </row>
    <row r="370" spans="1:10" ht="15.75" customHeight="1">
      <c r="A370" s="90"/>
      <c r="B370" s="88" t="s">
        <v>159</v>
      </c>
      <c r="C370" s="88"/>
      <c r="D370" s="88" t="s">
        <v>160</v>
      </c>
      <c r="E370" s="88"/>
      <c r="F370" s="91"/>
      <c r="G370" s="110">
        <f>SUM(G371:G376)</f>
        <v>12806176</v>
      </c>
      <c r="H370" s="110">
        <f>SUM(H371:H376)</f>
        <v>10038506</v>
      </c>
      <c r="I370" s="110">
        <f>SUM(I371:I376)</f>
        <v>9901633</v>
      </c>
      <c r="J370" s="267">
        <f t="shared" si="20"/>
        <v>0.9863652021525913</v>
      </c>
    </row>
    <row r="371" spans="1:10" ht="15.75" customHeight="1">
      <c r="A371" s="81"/>
      <c r="B371" s="91"/>
      <c r="C371" s="91" t="s">
        <v>161</v>
      </c>
      <c r="D371" s="91" t="s">
        <v>162</v>
      </c>
      <c r="E371" s="91"/>
      <c r="F371" s="91"/>
      <c r="G371" s="108">
        <f>10108800*1.02</f>
        <v>10310976</v>
      </c>
      <c r="H371" s="108">
        <v>8190820</v>
      </c>
      <c r="I371" s="108">
        <v>8111749</v>
      </c>
      <c r="J371" s="268">
        <f t="shared" si="20"/>
        <v>0.9903463877853499</v>
      </c>
    </row>
    <row r="372" spans="1:10" ht="15.75" customHeight="1">
      <c r="A372" s="81"/>
      <c r="B372" s="91"/>
      <c r="C372" s="91" t="s">
        <v>332</v>
      </c>
      <c r="D372" s="91" t="s">
        <v>336</v>
      </c>
      <c r="E372" s="91"/>
      <c r="F372" s="91"/>
      <c r="G372" s="108">
        <v>421200</v>
      </c>
      <c r="H372" s="108">
        <v>421200</v>
      </c>
      <c r="I372" s="108">
        <v>421200</v>
      </c>
      <c r="J372" s="268">
        <f t="shared" si="20"/>
        <v>1</v>
      </c>
    </row>
    <row r="373" spans="1:10" ht="15.75" customHeight="1">
      <c r="A373" s="81"/>
      <c r="B373" s="91"/>
      <c r="C373" s="91" t="s">
        <v>242</v>
      </c>
      <c r="D373" s="91" t="s">
        <v>243</v>
      </c>
      <c r="E373" s="91"/>
      <c r="F373" s="91"/>
      <c r="G373" s="108">
        <v>1000000</v>
      </c>
      <c r="H373" s="108">
        <v>300000</v>
      </c>
      <c r="I373" s="108">
        <v>266012</v>
      </c>
      <c r="J373" s="268">
        <f t="shared" si="20"/>
        <v>0.8867066666666666</v>
      </c>
    </row>
    <row r="374" spans="1:10" ht="15.75" customHeight="1">
      <c r="A374" s="90"/>
      <c r="B374" s="91"/>
      <c r="C374" s="91" t="s">
        <v>163</v>
      </c>
      <c r="D374" s="91" t="s">
        <v>164</v>
      </c>
      <c r="E374" s="91"/>
      <c r="F374" s="91"/>
      <c r="G374" s="108">
        <f>4*151000</f>
        <v>604000</v>
      </c>
      <c r="H374" s="108">
        <f>4*151000</f>
        <v>604000</v>
      </c>
      <c r="I374" s="108">
        <v>601886</v>
      </c>
      <c r="J374" s="268">
        <f t="shared" si="20"/>
        <v>0.9965</v>
      </c>
    </row>
    <row r="375" spans="1:10" ht="15.75" customHeight="1">
      <c r="A375" s="90"/>
      <c r="B375" s="91"/>
      <c r="C375" s="91" t="s">
        <v>260</v>
      </c>
      <c r="D375" s="91" t="s">
        <v>261</v>
      </c>
      <c r="E375" s="91"/>
      <c r="F375" s="91"/>
      <c r="G375" s="108">
        <v>70000</v>
      </c>
      <c r="H375" s="108">
        <v>70000</v>
      </c>
      <c r="I375" s="108">
        <v>48300</v>
      </c>
      <c r="J375" s="268">
        <f t="shared" si="20"/>
        <v>0.69</v>
      </c>
    </row>
    <row r="376" spans="1:10" ht="15.75" customHeight="1">
      <c r="A376" s="90"/>
      <c r="B376" s="91"/>
      <c r="C376" s="90" t="s">
        <v>230</v>
      </c>
      <c r="D376" s="91" t="s">
        <v>371</v>
      </c>
      <c r="E376" s="91"/>
      <c r="F376" s="91"/>
      <c r="G376" s="108">
        <v>400000</v>
      </c>
      <c r="H376" s="108">
        <v>452486</v>
      </c>
      <c r="I376" s="108">
        <v>452486</v>
      </c>
      <c r="J376" s="268">
        <f t="shared" si="20"/>
        <v>1</v>
      </c>
    </row>
    <row r="377" spans="1:10" ht="15.75" customHeight="1">
      <c r="A377" s="90"/>
      <c r="B377" s="88" t="s">
        <v>165</v>
      </c>
      <c r="C377" s="87"/>
      <c r="D377" s="88" t="s">
        <v>269</v>
      </c>
      <c r="E377" s="88"/>
      <c r="F377" s="91"/>
      <c r="G377" s="110">
        <f>SUM(G378:G379)</f>
        <v>2350000</v>
      </c>
      <c r="H377" s="110">
        <f>SUM(H378:H379)</f>
        <v>3384979</v>
      </c>
      <c r="I377" s="110">
        <f>SUM(I378:I379)</f>
        <v>3290375</v>
      </c>
      <c r="J377" s="267">
        <f t="shared" si="20"/>
        <v>0.9720518207055346</v>
      </c>
    </row>
    <row r="378" spans="1:10" ht="15.75" customHeight="1">
      <c r="A378" s="90"/>
      <c r="B378" s="91"/>
      <c r="C378" s="90" t="s">
        <v>262</v>
      </c>
      <c r="D378" s="91" t="s">
        <v>270</v>
      </c>
      <c r="E378" s="91"/>
      <c r="F378" s="91"/>
      <c r="G378" s="108">
        <v>2000000</v>
      </c>
      <c r="H378" s="108">
        <v>3034979</v>
      </c>
      <c r="I378" s="108">
        <v>3034979</v>
      </c>
      <c r="J378" s="268">
        <f t="shared" si="20"/>
        <v>1</v>
      </c>
    </row>
    <row r="379" spans="1:10" ht="15.75" customHeight="1">
      <c r="A379" s="90"/>
      <c r="B379" s="91"/>
      <c r="C379" s="90" t="s">
        <v>173</v>
      </c>
      <c r="D379" s="91" t="s">
        <v>174</v>
      </c>
      <c r="E379" s="91"/>
      <c r="F379" s="91"/>
      <c r="G379" s="108">
        <v>350000</v>
      </c>
      <c r="H379" s="108">
        <v>350000</v>
      </c>
      <c r="I379" s="108">
        <v>255396</v>
      </c>
      <c r="J379" s="268">
        <f t="shared" si="20"/>
        <v>0.7297028571428571</v>
      </c>
    </row>
    <row r="380" spans="1:10" ht="15.75" customHeight="1">
      <c r="A380" s="87" t="s">
        <v>25</v>
      </c>
      <c r="B380" s="88"/>
      <c r="C380" s="88" t="s">
        <v>175</v>
      </c>
      <c r="D380" s="95"/>
      <c r="E380" s="95"/>
      <c r="F380" s="91"/>
      <c r="G380" s="110">
        <f>SUM(G381:G383)</f>
        <v>1770105</v>
      </c>
      <c r="H380" s="110">
        <f>SUM(H381:H383)</f>
        <v>2047077</v>
      </c>
      <c r="I380" s="110">
        <f>SUM(I381:I383)</f>
        <v>2376168</v>
      </c>
      <c r="J380" s="267">
        <f t="shared" si="20"/>
        <v>1.16076141737707</v>
      </c>
    </row>
    <row r="381" spans="1:10" ht="15.75" customHeight="1">
      <c r="A381" s="90"/>
      <c r="B381" s="91"/>
      <c r="C381" s="91"/>
      <c r="D381" s="93" t="s">
        <v>176</v>
      </c>
      <c r="E381" s="91"/>
      <c r="F381" s="91"/>
      <c r="G381" s="108">
        <f>1563705+117000</f>
        <v>1680705</v>
      </c>
      <c r="H381" s="108">
        <v>1717986</v>
      </c>
      <c r="I381" s="108">
        <v>2047077</v>
      </c>
      <c r="J381" s="268">
        <f t="shared" si="20"/>
        <v>1.1915562757787317</v>
      </c>
    </row>
    <row r="382" spans="1:10" ht="15.75" customHeight="1">
      <c r="A382" s="90"/>
      <c r="B382" s="91"/>
      <c r="C382" s="91"/>
      <c r="D382" s="93" t="s">
        <v>472</v>
      </c>
      <c r="E382" s="91"/>
      <c r="F382" s="91"/>
      <c r="G382" s="108"/>
      <c r="H382" s="108"/>
      <c r="I382" s="108">
        <v>193603</v>
      </c>
      <c r="J382" s="268"/>
    </row>
    <row r="383" spans="1:10" ht="15.75" customHeight="1">
      <c r="A383" s="90"/>
      <c r="B383" s="91"/>
      <c r="C383" s="91"/>
      <c r="D383" s="93" t="s">
        <v>177</v>
      </c>
      <c r="E383" s="91"/>
      <c r="F383" s="91"/>
      <c r="G383" s="108">
        <v>89400</v>
      </c>
      <c r="H383" s="108">
        <v>329091</v>
      </c>
      <c r="I383" s="108">
        <v>135488</v>
      </c>
      <c r="J383" s="268">
        <f t="shared" si="20"/>
        <v>0.4117037536729962</v>
      </c>
    </row>
    <row r="384" spans="1:10" ht="15.75" customHeight="1">
      <c r="A384" s="87" t="s">
        <v>27</v>
      </c>
      <c r="B384" s="88"/>
      <c r="C384" s="88" t="s">
        <v>28</v>
      </c>
      <c r="D384" s="88"/>
      <c r="E384" s="88"/>
      <c r="F384" s="91"/>
      <c r="G384" s="110">
        <f>G385+G388+G391+G396</f>
        <v>33930000</v>
      </c>
      <c r="H384" s="110">
        <f>H385+H388+H391+H396</f>
        <v>30414142</v>
      </c>
      <c r="I384" s="110">
        <f>I385+I388+I391+I396</f>
        <v>28963579</v>
      </c>
      <c r="J384" s="267">
        <f t="shared" si="20"/>
        <v>0.9523062988263815</v>
      </c>
    </row>
    <row r="385" spans="1:10" ht="15.75" customHeight="1">
      <c r="A385" s="97"/>
      <c r="B385" s="88" t="s">
        <v>178</v>
      </c>
      <c r="C385" s="93"/>
      <c r="D385" s="88" t="s">
        <v>179</v>
      </c>
      <c r="E385" s="97"/>
      <c r="F385" s="91"/>
      <c r="G385" s="110">
        <f>G386+G387</f>
        <v>5470000</v>
      </c>
      <c r="H385" s="110">
        <f>H386+H387</f>
        <v>5470000</v>
      </c>
      <c r="I385" s="110">
        <f>I386+I387</f>
        <v>4359355</v>
      </c>
      <c r="J385" s="267">
        <f t="shared" si="20"/>
        <v>0.7969570383912249</v>
      </c>
    </row>
    <row r="386" spans="1:10" ht="15.75" customHeight="1">
      <c r="A386" s="90"/>
      <c r="B386" s="91"/>
      <c r="C386" s="91" t="s">
        <v>180</v>
      </c>
      <c r="D386" s="91" t="s">
        <v>181</v>
      </c>
      <c r="E386" s="97"/>
      <c r="F386" s="91"/>
      <c r="G386" s="108">
        <v>470000</v>
      </c>
      <c r="H386" s="108">
        <v>470000</v>
      </c>
      <c r="I386" s="108">
        <v>75275</v>
      </c>
      <c r="J386" s="268">
        <f t="shared" si="20"/>
        <v>0.1601595744680851</v>
      </c>
    </row>
    <row r="387" spans="1:10" ht="15.75" customHeight="1">
      <c r="A387" s="90"/>
      <c r="B387" s="91"/>
      <c r="C387" s="91" t="s">
        <v>183</v>
      </c>
      <c r="D387" s="91" t="s">
        <v>184</v>
      </c>
      <c r="E387" s="91"/>
      <c r="F387" s="91"/>
      <c r="G387" s="108">
        <v>5000000</v>
      </c>
      <c r="H387" s="108">
        <v>5000000</v>
      </c>
      <c r="I387" s="108">
        <v>4284080</v>
      </c>
      <c r="J387" s="268">
        <f t="shared" si="20"/>
        <v>0.856816</v>
      </c>
    </row>
    <row r="388" spans="1:10" ht="15.75" customHeight="1">
      <c r="A388" s="97"/>
      <c r="B388" s="88" t="s">
        <v>186</v>
      </c>
      <c r="C388" s="93"/>
      <c r="D388" s="88" t="s">
        <v>187</v>
      </c>
      <c r="E388" s="93"/>
      <c r="F388" s="91"/>
      <c r="G388" s="110">
        <f>G389+G390</f>
        <v>260000</v>
      </c>
      <c r="H388" s="110">
        <f>H389+H390</f>
        <v>260000</v>
      </c>
      <c r="I388" s="110">
        <f>I389+I390</f>
        <v>145890</v>
      </c>
      <c r="J388" s="267">
        <f t="shared" si="20"/>
        <v>0.5611153846153846</v>
      </c>
    </row>
    <row r="389" spans="1:10" ht="15.75" customHeight="1">
      <c r="A389" s="90"/>
      <c r="B389" s="91"/>
      <c r="C389" s="91" t="s">
        <v>188</v>
      </c>
      <c r="D389" s="91" t="s">
        <v>189</v>
      </c>
      <c r="E389" s="91"/>
      <c r="F389" s="91"/>
      <c r="G389" s="108">
        <v>180000</v>
      </c>
      <c r="H389" s="108">
        <v>180000</v>
      </c>
      <c r="I389" s="108">
        <v>65560</v>
      </c>
      <c r="J389" s="268">
        <f t="shared" si="20"/>
        <v>0.3642222222222222</v>
      </c>
    </row>
    <row r="390" spans="1:10" ht="15.75" customHeight="1">
      <c r="A390" s="90"/>
      <c r="B390" s="91"/>
      <c r="C390" s="91" t="s">
        <v>190</v>
      </c>
      <c r="D390" s="91" t="s">
        <v>191</v>
      </c>
      <c r="E390" s="91"/>
      <c r="F390" s="91"/>
      <c r="G390" s="108">
        <v>80000</v>
      </c>
      <c r="H390" s="108">
        <v>80000</v>
      </c>
      <c r="I390" s="108">
        <v>80330</v>
      </c>
      <c r="J390" s="268">
        <f t="shared" si="20"/>
        <v>1.004125</v>
      </c>
    </row>
    <row r="391" spans="1:10" ht="15.75" customHeight="1">
      <c r="A391" s="97"/>
      <c r="B391" s="88" t="s">
        <v>192</v>
      </c>
      <c r="C391" s="93"/>
      <c r="D391" s="88" t="s">
        <v>193</v>
      </c>
      <c r="E391" s="93"/>
      <c r="F391" s="91"/>
      <c r="G391" s="110">
        <f>G392+G394+G395</f>
        <v>12500000</v>
      </c>
      <c r="H391" s="110">
        <f>H392+H394+H395+H393</f>
        <v>18984142</v>
      </c>
      <c r="I391" s="110">
        <f>I392+I394+I395+I393</f>
        <v>18984142</v>
      </c>
      <c r="J391" s="267">
        <f t="shared" si="20"/>
        <v>1</v>
      </c>
    </row>
    <row r="392" spans="1:10" ht="15.75" customHeight="1">
      <c r="A392" s="90"/>
      <c r="B392" s="91"/>
      <c r="C392" s="91" t="s">
        <v>194</v>
      </c>
      <c r="D392" s="91" t="s">
        <v>195</v>
      </c>
      <c r="E392" s="91"/>
      <c r="F392" s="91"/>
      <c r="G392" s="108">
        <v>2500000</v>
      </c>
      <c r="H392" s="108">
        <v>3552869</v>
      </c>
      <c r="I392" s="108">
        <v>3552869</v>
      </c>
      <c r="J392" s="268">
        <f t="shared" si="20"/>
        <v>1</v>
      </c>
    </row>
    <row r="393" spans="1:10" ht="15.75" customHeight="1">
      <c r="A393" s="90"/>
      <c r="B393" s="91"/>
      <c r="C393" s="91" t="s">
        <v>196</v>
      </c>
      <c r="D393" s="91" t="s">
        <v>451</v>
      </c>
      <c r="E393" s="91"/>
      <c r="F393" s="91"/>
      <c r="G393" s="108"/>
      <c r="H393" s="108">
        <v>20003</v>
      </c>
      <c r="I393" s="108">
        <v>20003</v>
      </c>
      <c r="J393" s="268">
        <f t="shared" si="20"/>
        <v>1</v>
      </c>
    </row>
    <row r="394" spans="1:10" ht="15.75" customHeight="1">
      <c r="A394" s="90"/>
      <c r="B394" s="91"/>
      <c r="C394" s="91" t="s">
        <v>198</v>
      </c>
      <c r="D394" s="91" t="s">
        <v>199</v>
      </c>
      <c r="E394" s="91"/>
      <c r="F394" s="91"/>
      <c r="G394" s="108">
        <f>3000000</f>
        <v>3000000</v>
      </c>
      <c r="H394" s="108">
        <v>5550437</v>
      </c>
      <c r="I394" s="108">
        <v>5550437</v>
      </c>
      <c r="J394" s="268">
        <f t="shared" si="20"/>
        <v>1</v>
      </c>
    </row>
    <row r="395" spans="1:10" ht="15.75" customHeight="1">
      <c r="A395" s="90"/>
      <c r="B395" s="91"/>
      <c r="C395" s="91" t="s">
        <v>200</v>
      </c>
      <c r="D395" s="91" t="s">
        <v>201</v>
      </c>
      <c r="E395" s="91"/>
      <c r="F395" s="91"/>
      <c r="G395" s="108">
        <f>7000000</f>
        <v>7000000</v>
      </c>
      <c r="H395" s="108">
        <v>9860833</v>
      </c>
      <c r="I395" s="108">
        <v>9860833</v>
      </c>
      <c r="J395" s="268">
        <f t="shared" si="20"/>
        <v>1</v>
      </c>
    </row>
    <row r="396" spans="1:10" ht="15.75" customHeight="1">
      <c r="A396" s="97"/>
      <c r="B396" s="88" t="s">
        <v>206</v>
      </c>
      <c r="C396" s="98"/>
      <c r="D396" s="88" t="s">
        <v>207</v>
      </c>
      <c r="E396" s="98"/>
      <c r="F396" s="91"/>
      <c r="G396" s="110">
        <f>SUM(G397:G398)</f>
        <v>15700000</v>
      </c>
      <c r="H396" s="110">
        <f>SUM(H397:H398)</f>
        <v>5700000</v>
      </c>
      <c r="I396" s="110">
        <f>SUM(I397:I398)</f>
        <v>5474192</v>
      </c>
      <c r="J396" s="267">
        <f t="shared" si="20"/>
        <v>0.9603845614035088</v>
      </c>
    </row>
    <row r="397" spans="1:10" ht="15.75" customHeight="1">
      <c r="A397" s="90"/>
      <c r="B397" s="91"/>
      <c r="C397" s="91" t="s">
        <v>208</v>
      </c>
      <c r="D397" s="91" t="s">
        <v>209</v>
      </c>
      <c r="E397" s="91"/>
      <c r="F397" s="91"/>
      <c r="G397" s="108">
        <f>5700000</f>
        <v>5700000</v>
      </c>
      <c r="H397" s="108">
        <f>5700000</f>
        <v>5700000</v>
      </c>
      <c r="I397" s="108">
        <v>5474192</v>
      </c>
      <c r="J397" s="268">
        <f t="shared" si="20"/>
        <v>0.9603845614035088</v>
      </c>
    </row>
    <row r="398" spans="1:10" ht="15.75" customHeight="1">
      <c r="A398" s="90"/>
      <c r="B398" s="91"/>
      <c r="C398" s="91" t="s">
        <v>234</v>
      </c>
      <c r="D398" s="91" t="s">
        <v>235</v>
      </c>
      <c r="E398" s="91"/>
      <c r="F398" s="91"/>
      <c r="G398" s="108">
        <v>10000000</v>
      </c>
      <c r="H398" s="81">
        <v>0</v>
      </c>
      <c r="I398" s="81">
        <v>0</v>
      </c>
      <c r="J398" s="268"/>
    </row>
    <row r="399" spans="1:10" ht="15.75" customHeight="1">
      <c r="A399" s="101" t="s">
        <v>34</v>
      </c>
      <c r="B399" s="91"/>
      <c r="C399" s="88" t="s">
        <v>35</v>
      </c>
      <c r="D399" s="91"/>
      <c r="E399" s="91"/>
      <c r="F399" s="91"/>
      <c r="G399" s="110">
        <f>SUM(G400:G402)</f>
        <v>67945000</v>
      </c>
      <c r="H399" s="110">
        <f>SUM(H400:H402)</f>
        <v>59793544</v>
      </c>
      <c r="I399" s="110">
        <f>SUM(I400:I402)</f>
        <v>59707930</v>
      </c>
      <c r="J399" s="267">
        <f t="shared" si="20"/>
        <v>0.9985681731793653</v>
      </c>
    </row>
    <row r="400" spans="1:10" ht="15.75" customHeight="1">
      <c r="A400" s="90"/>
      <c r="B400" s="88" t="s">
        <v>236</v>
      </c>
      <c r="C400" s="91"/>
      <c r="D400" s="91" t="s">
        <v>372</v>
      </c>
      <c r="E400" s="91"/>
      <c r="F400" s="91"/>
      <c r="G400" s="108">
        <v>29000000</v>
      </c>
      <c r="H400" s="108">
        <v>39100000</v>
      </c>
      <c r="I400" s="108">
        <v>39029144</v>
      </c>
      <c r="J400" s="268">
        <f t="shared" si="20"/>
        <v>0.9981878260869566</v>
      </c>
    </row>
    <row r="401" spans="1:10" ht="15.75" customHeight="1">
      <c r="A401" s="90"/>
      <c r="B401" s="88" t="s">
        <v>340</v>
      </c>
      <c r="C401" s="91"/>
      <c r="D401" s="91" t="s">
        <v>339</v>
      </c>
      <c r="E401" s="91"/>
      <c r="F401" s="91"/>
      <c r="G401" s="108">
        <v>24500000</v>
      </c>
      <c r="H401" s="108">
        <v>11493544</v>
      </c>
      <c r="I401" s="108">
        <v>11493544</v>
      </c>
      <c r="J401" s="268">
        <f t="shared" si="20"/>
        <v>1</v>
      </c>
    </row>
    <row r="402" spans="1:10" ht="15.75" customHeight="1">
      <c r="A402" s="90"/>
      <c r="B402" s="88" t="s">
        <v>237</v>
      </c>
      <c r="C402" s="91"/>
      <c r="D402" s="91" t="s">
        <v>238</v>
      </c>
      <c r="E402" s="91"/>
      <c r="F402" s="91"/>
      <c r="G402" s="108">
        <v>14445000</v>
      </c>
      <c r="H402" s="108">
        <v>9200000</v>
      </c>
      <c r="I402" s="108">
        <v>9185242</v>
      </c>
      <c r="J402" s="268">
        <f t="shared" si="20"/>
        <v>0.9983958695652174</v>
      </c>
    </row>
    <row r="403" spans="1:10" ht="15.75" customHeight="1">
      <c r="A403" s="113" t="s">
        <v>36</v>
      </c>
      <c r="B403" s="113"/>
      <c r="C403" s="113" t="s">
        <v>37</v>
      </c>
      <c r="D403" s="81"/>
      <c r="E403" s="81"/>
      <c r="F403" s="91"/>
      <c r="G403" s="110">
        <f>SUM(G404:G405)</f>
        <v>40984200</v>
      </c>
      <c r="H403" s="110">
        <f>SUM(H404:H405)</f>
        <v>50943208</v>
      </c>
      <c r="I403" s="110">
        <f>SUM(I404:I405)</f>
        <v>50763568</v>
      </c>
      <c r="J403" s="267">
        <f t="shared" si="20"/>
        <v>0.9964737203043829</v>
      </c>
    </row>
    <row r="404" spans="1:10" ht="15.75" customHeight="1">
      <c r="A404" s="81"/>
      <c r="B404" s="113" t="s">
        <v>247</v>
      </c>
      <c r="C404" s="81"/>
      <c r="D404" s="81" t="s">
        <v>375</v>
      </c>
      <c r="E404" s="81"/>
      <c r="F404" s="91"/>
      <c r="G404" s="108">
        <f>20460000+11811000</f>
        <v>32271000</v>
      </c>
      <c r="H404" s="81">
        <v>40100000</v>
      </c>
      <c r="I404" s="81">
        <v>39971314</v>
      </c>
      <c r="J404" s="268">
        <f t="shared" si="20"/>
        <v>0.9967908728179551</v>
      </c>
    </row>
    <row r="405" spans="1:10" ht="15.75" customHeight="1">
      <c r="A405" s="81"/>
      <c r="B405" s="113" t="s">
        <v>249</v>
      </c>
      <c r="C405" s="81"/>
      <c r="D405" s="81" t="s">
        <v>250</v>
      </c>
      <c r="E405" s="81"/>
      <c r="F405" s="91"/>
      <c r="G405" s="108">
        <f>5524200+3189000</f>
        <v>8713200</v>
      </c>
      <c r="H405" s="81">
        <v>10843208</v>
      </c>
      <c r="I405" s="81">
        <v>10792254</v>
      </c>
      <c r="J405" s="268">
        <f t="shared" si="20"/>
        <v>0.9953008371692215</v>
      </c>
    </row>
    <row r="406" spans="1:10" ht="15.75" customHeight="1">
      <c r="A406" s="90"/>
      <c r="B406" s="91"/>
      <c r="C406" s="91"/>
      <c r="D406" s="91"/>
      <c r="E406" s="91"/>
      <c r="F406" s="91"/>
      <c r="G406" s="108"/>
      <c r="H406" s="81"/>
      <c r="I406" s="81"/>
      <c r="J406" s="81"/>
    </row>
    <row r="407" spans="1:10" ht="15.75" customHeight="1">
      <c r="A407" s="84" t="s">
        <v>273</v>
      </c>
      <c r="B407" s="104"/>
      <c r="C407" s="104"/>
      <c r="D407" s="104"/>
      <c r="E407" s="104"/>
      <c r="F407" s="114"/>
      <c r="G407" s="107">
        <f>SUM(G408)</f>
        <v>580000</v>
      </c>
      <c r="H407" s="107">
        <f>SUM(H408)</f>
        <v>580000</v>
      </c>
      <c r="I407" s="107">
        <f>SUM(I408)</f>
        <v>572832</v>
      </c>
      <c r="J407" s="269">
        <f aca="true" t="shared" si="21" ref="J407:J413">I407/H407</f>
        <v>0.9876413793103448</v>
      </c>
    </row>
    <row r="408" spans="1:10" ht="15.75" customHeight="1">
      <c r="A408" s="87" t="s">
        <v>27</v>
      </c>
      <c r="B408" s="88"/>
      <c r="C408" s="88" t="s">
        <v>28</v>
      </c>
      <c r="D408" s="88"/>
      <c r="E408" s="88"/>
      <c r="F408" s="91"/>
      <c r="G408" s="110">
        <f>G409+G412</f>
        <v>580000</v>
      </c>
      <c r="H408" s="110">
        <f>H409+H412</f>
        <v>580000</v>
      </c>
      <c r="I408" s="110">
        <f>I409+I412</f>
        <v>572832</v>
      </c>
      <c r="J408" s="267">
        <f t="shared" si="21"/>
        <v>0.9876413793103448</v>
      </c>
    </row>
    <row r="409" spans="1:10" ht="15.75" customHeight="1">
      <c r="A409" s="97"/>
      <c r="B409" s="88" t="s">
        <v>178</v>
      </c>
      <c r="C409" s="98"/>
      <c r="D409" s="88" t="s">
        <v>179</v>
      </c>
      <c r="E409" s="99"/>
      <c r="F409" s="91"/>
      <c r="G409" s="110">
        <f aca="true" t="shared" si="22" ref="G409:I410">G410</f>
        <v>550000</v>
      </c>
      <c r="H409" s="110">
        <f t="shared" si="22"/>
        <v>550000</v>
      </c>
      <c r="I409" s="110">
        <f t="shared" si="22"/>
        <v>535273</v>
      </c>
      <c r="J409" s="267">
        <f t="shared" si="21"/>
        <v>0.9732236363636364</v>
      </c>
    </row>
    <row r="410" spans="1:10" ht="15.75" customHeight="1">
      <c r="A410" s="90"/>
      <c r="B410" s="91"/>
      <c r="C410" s="91" t="s">
        <v>180</v>
      </c>
      <c r="D410" s="91" t="s">
        <v>181</v>
      </c>
      <c r="E410" s="97"/>
      <c r="F410" s="91"/>
      <c r="G410" s="108">
        <f t="shared" si="22"/>
        <v>550000</v>
      </c>
      <c r="H410" s="108">
        <f t="shared" si="22"/>
        <v>550000</v>
      </c>
      <c r="I410" s="108">
        <f t="shared" si="22"/>
        <v>535273</v>
      </c>
      <c r="J410" s="268">
        <f t="shared" si="21"/>
        <v>0.9732236363636364</v>
      </c>
    </row>
    <row r="411" spans="1:10" ht="15.75" customHeight="1">
      <c r="A411" s="90"/>
      <c r="B411" s="91"/>
      <c r="C411" s="91"/>
      <c r="D411" s="91"/>
      <c r="E411" s="97" t="s">
        <v>182</v>
      </c>
      <c r="F411" s="91"/>
      <c r="G411" s="108">
        <v>550000</v>
      </c>
      <c r="H411" s="108">
        <v>550000</v>
      </c>
      <c r="I411" s="108">
        <v>535273</v>
      </c>
      <c r="J411" s="268">
        <f t="shared" si="21"/>
        <v>0.9732236363636364</v>
      </c>
    </row>
    <row r="412" spans="1:10" ht="15.75" customHeight="1">
      <c r="A412" s="97"/>
      <c r="B412" s="88" t="s">
        <v>206</v>
      </c>
      <c r="C412" s="98"/>
      <c r="D412" s="88" t="s">
        <v>207</v>
      </c>
      <c r="E412" s="98"/>
      <c r="F412" s="91"/>
      <c r="G412" s="110">
        <f>G413</f>
        <v>30000</v>
      </c>
      <c r="H412" s="110">
        <f>H413</f>
        <v>30000</v>
      </c>
      <c r="I412" s="110">
        <f>I413</f>
        <v>37559</v>
      </c>
      <c r="J412" s="267">
        <f t="shared" si="21"/>
        <v>1.2519666666666667</v>
      </c>
    </row>
    <row r="413" spans="1:10" ht="15.75" customHeight="1">
      <c r="A413" s="90"/>
      <c r="B413" s="91"/>
      <c r="C413" s="91" t="s">
        <v>208</v>
      </c>
      <c r="D413" s="91" t="s">
        <v>209</v>
      </c>
      <c r="E413" s="91"/>
      <c r="F413" s="91"/>
      <c r="G413" s="108">
        <v>30000</v>
      </c>
      <c r="H413" s="108">
        <v>30000</v>
      </c>
      <c r="I413" s="108">
        <v>37559</v>
      </c>
      <c r="J413" s="268">
        <f t="shared" si="21"/>
        <v>1.2519666666666667</v>
      </c>
    </row>
    <row r="414" spans="1:10" ht="15.75" customHeight="1">
      <c r="A414" s="90"/>
      <c r="B414" s="91"/>
      <c r="C414" s="91"/>
      <c r="D414" s="91"/>
      <c r="E414" s="91"/>
      <c r="F414" s="91"/>
      <c r="G414" s="108"/>
      <c r="H414" s="81"/>
      <c r="I414" s="81"/>
      <c r="J414" s="81"/>
    </row>
    <row r="415" spans="1:10" ht="15.75" customHeight="1">
      <c r="A415" s="84" t="s">
        <v>118</v>
      </c>
      <c r="B415" s="104"/>
      <c r="C415" s="104"/>
      <c r="D415" s="104"/>
      <c r="E415" s="104"/>
      <c r="F415" s="114">
        <v>1</v>
      </c>
      <c r="G415" s="107">
        <f>G416+G423+G426</f>
        <v>6230035</v>
      </c>
      <c r="H415" s="107">
        <f>H416+H423+H426</f>
        <v>6230035</v>
      </c>
      <c r="I415" s="107">
        <f>I416+I423+I426</f>
        <v>5071181</v>
      </c>
      <c r="J415" s="269">
        <f>I415/H415</f>
        <v>0.813989166995049</v>
      </c>
    </row>
    <row r="416" spans="1:10" ht="15.75" customHeight="1">
      <c r="A416" s="87" t="s">
        <v>23</v>
      </c>
      <c r="B416" s="88"/>
      <c r="C416" s="88" t="s">
        <v>158</v>
      </c>
      <c r="D416" s="88"/>
      <c r="E416" s="88"/>
      <c r="F416" s="91"/>
      <c r="G416" s="110">
        <f>SUM(G417)</f>
        <v>3138200</v>
      </c>
      <c r="H416" s="110">
        <f>SUM(H417)</f>
        <v>3138200</v>
      </c>
      <c r="I416" s="110">
        <f>SUM(I417)</f>
        <v>3038643</v>
      </c>
      <c r="J416" s="267">
        <f aca="true" t="shared" si="23" ref="J416:J439">I416/H416</f>
        <v>0.9682757631763431</v>
      </c>
    </row>
    <row r="417" spans="1:10" ht="15.75" customHeight="1">
      <c r="A417" s="90"/>
      <c r="B417" s="88" t="s">
        <v>159</v>
      </c>
      <c r="C417" s="88"/>
      <c r="D417" s="88" t="s">
        <v>160</v>
      </c>
      <c r="E417" s="88"/>
      <c r="F417" s="91"/>
      <c r="G417" s="110">
        <f>SUM(G418:G422)</f>
        <v>3138200</v>
      </c>
      <c r="H417" s="110">
        <f>SUM(H418:H422)</f>
        <v>3138200</v>
      </c>
      <c r="I417" s="110">
        <f>SUM(I418:I422)</f>
        <v>3038643</v>
      </c>
      <c r="J417" s="267">
        <f t="shared" si="23"/>
        <v>0.9682757631763431</v>
      </c>
    </row>
    <row r="418" spans="1:10" ht="15.75" customHeight="1">
      <c r="A418" s="81"/>
      <c r="B418" s="91"/>
      <c r="C418" s="91" t="s">
        <v>161</v>
      </c>
      <c r="D418" s="91" t="s">
        <v>162</v>
      </c>
      <c r="E418" s="91"/>
      <c r="F418" s="91"/>
      <c r="G418" s="108">
        <v>2527200</v>
      </c>
      <c r="H418" s="108">
        <v>2527200</v>
      </c>
      <c r="I418" s="108">
        <v>2511600</v>
      </c>
      <c r="J418" s="268">
        <f t="shared" si="23"/>
        <v>0.9938271604938271</v>
      </c>
    </row>
    <row r="419" spans="1:10" ht="15.75" customHeight="1">
      <c r="A419" s="81"/>
      <c r="B419" s="91"/>
      <c r="C419" s="91" t="s">
        <v>332</v>
      </c>
      <c r="D419" s="91" t="s">
        <v>343</v>
      </c>
      <c r="E419" s="91"/>
      <c r="F419" s="91"/>
      <c r="G419" s="108">
        <v>110000</v>
      </c>
      <c r="H419" s="108">
        <v>110000</v>
      </c>
      <c r="I419" s="108">
        <v>105300</v>
      </c>
      <c r="J419" s="268">
        <f t="shared" si="23"/>
        <v>0.9572727272727273</v>
      </c>
    </row>
    <row r="420" spans="1:10" ht="15.75" customHeight="1">
      <c r="A420" s="90"/>
      <c r="B420" s="91"/>
      <c r="C420" s="91" t="s">
        <v>163</v>
      </c>
      <c r="D420" s="91" t="s">
        <v>164</v>
      </c>
      <c r="E420" s="91"/>
      <c r="F420" s="91"/>
      <c r="G420" s="108">
        <v>151000</v>
      </c>
      <c r="H420" s="108">
        <v>151000</v>
      </c>
      <c r="I420" s="108">
        <v>150943</v>
      </c>
      <c r="J420" s="268">
        <f t="shared" si="23"/>
        <v>0.9996225165562914</v>
      </c>
    </row>
    <row r="421" spans="1:10" ht="15.75" customHeight="1">
      <c r="A421" s="90"/>
      <c r="B421" s="91"/>
      <c r="C421" s="91" t="s">
        <v>260</v>
      </c>
      <c r="D421" s="91" t="s">
        <v>261</v>
      </c>
      <c r="E421" s="91"/>
      <c r="F421" s="91"/>
      <c r="G421" s="108">
        <v>350000</v>
      </c>
      <c r="H421" s="108">
        <v>350000</v>
      </c>
      <c r="I421" s="108">
        <v>270800</v>
      </c>
      <c r="J421" s="268">
        <f t="shared" si="23"/>
        <v>0.7737142857142857</v>
      </c>
    </row>
    <row r="422" spans="1:10" ht="15.75" customHeight="1">
      <c r="A422" s="90"/>
      <c r="B422" s="91"/>
      <c r="C422" s="90" t="s">
        <v>230</v>
      </c>
      <c r="D422" s="91" t="s">
        <v>160</v>
      </c>
      <c r="E422" s="91"/>
      <c r="F422" s="91"/>
      <c r="G422" s="108">
        <v>0</v>
      </c>
      <c r="H422" s="108">
        <v>0</v>
      </c>
      <c r="I422" s="108">
        <v>0</v>
      </c>
      <c r="J422" s="268"/>
    </row>
    <row r="423" spans="1:10" ht="15.75" customHeight="1">
      <c r="A423" s="87" t="s">
        <v>25</v>
      </c>
      <c r="B423" s="88"/>
      <c r="C423" s="88" t="s">
        <v>175</v>
      </c>
      <c r="D423" s="95"/>
      <c r="E423" s="95"/>
      <c r="F423" s="91"/>
      <c r="G423" s="110">
        <f>SUM(G424:G425)</f>
        <v>571835</v>
      </c>
      <c r="H423" s="110">
        <f>SUM(H424:H425)</f>
        <v>571835</v>
      </c>
      <c r="I423" s="110">
        <f>SUM(I424:I425)</f>
        <v>483848</v>
      </c>
      <c r="J423" s="267">
        <f t="shared" si="23"/>
        <v>0.846132188480943</v>
      </c>
    </row>
    <row r="424" spans="1:10" ht="15.75" customHeight="1">
      <c r="A424" s="90"/>
      <c r="B424" s="91"/>
      <c r="C424" s="91"/>
      <c r="D424" s="93" t="s">
        <v>176</v>
      </c>
      <c r="E424" s="91"/>
      <c r="F424" s="91"/>
      <c r="G424" s="108">
        <f>G417*0.175</f>
        <v>549185</v>
      </c>
      <c r="H424" s="108">
        <v>549185</v>
      </c>
      <c r="I424" s="108">
        <v>461207</v>
      </c>
      <c r="J424" s="268">
        <f t="shared" si="23"/>
        <v>0.839802616604605</v>
      </c>
    </row>
    <row r="425" spans="1:10" ht="15.75" customHeight="1">
      <c r="A425" s="90"/>
      <c r="B425" s="91"/>
      <c r="C425" s="91"/>
      <c r="D425" s="93" t="s">
        <v>177</v>
      </c>
      <c r="E425" s="91"/>
      <c r="F425" s="91"/>
      <c r="G425" s="108">
        <f>G420*0.15</f>
        <v>22650</v>
      </c>
      <c r="H425" s="108">
        <v>22650</v>
      </c>
      <c r="I425" s="108">
        <v>22641</v>
      </c>
      <c r="J425" s="268">
        <f t="shared" si="23"/>
        <v>0.9996026490066225</v>
      </c>
    </row>
    <row r="426" spans="1:10" ht="15.75" customHeight="1">
      <c r="A426" s="87" t="s">
        <v>27</v>
      </c>
      <c r="B426" s="88"/>
      <c r="C426" s="88" t="s">
        <v>28</v>
      </c>
      <c r="D426" s="88"/>
      <c r="E426" s="88"/>
      <c r="F426" s="91"/>
      <c r="G426" s="110">
        <f>G427+G430+G433+G439+G437</f>
        <v>2520000</v>
      </c>
      <c r="H426" s="110">
        <f>H427+H430+H433+H439+H437</f>
        <v>2520000</v>
      </c>
      <c r="I426" s="110">
        <f>I427+I430+I433+I439+I437</f>
        <v>1548690</v>
      </c>
      <c r="J426" s="267">
        <f t="shared" si="23"/>
        <v>0.6145595238095238</v>
      </c>
    </row>
    <row r="427" spans="1:10" ht="15.75" customHeight="1">
      <c r="A427" s="97"/>
      <c r="B427" s="88" t="s">
        <v>178</v>
      </c>
      <c r="C427" s="98"/>
      <c r="D427" s="88" t="s">
        <v>179</v>
      </c>
      <c r="E427" s="99"/>
      <c r="F427" s="91"/>
      <c r="G427" s="110">
        <f>G428+G429</f>
        <v>350000</v>
      </c>
      <c r="H427" s="110">
        <f>H428+H429</f>
        <v>350000</v>
      </c>
      <c r="I427" s="110">
        <f>I428+I429</f>
        <v>186844</v>
      </c>
      <c r="J427" s="267">
        <f t="shared" si="23"/>
        <v>0.53384</v>
      </c>
    </row>
    <row r="428" spans="1:10" ht="15.75" customHeight="1">
      <c r="A428" s="90"/>
      <c r="B428" s="91"/>
      <c r="C428" s="91" t="s">
        <v>180</v>
      </c>
      <c r="D428" s="91" t="s">
        <v>181</v>
      </c>
      <c r="E428" s="97"/>
      <c r="F428" s="91"/>
      <c r="G428" s="108">
        <v>150000</v>
      </c>
      <c r="H428" s="108">
        <v>150000</v>
      </c>
      <c r="I428" s="108">
        <v>60176</v>
      </c>
      <c r="J428" s="268">
        <f t="shared" si="23"/>
        <v>0.4011733333333333</v>
      </c>
    </row>
    <row r="429" spans="1:10" ht="15.75" customHeight="1">
      <c r="A429" s="90"/>
      <c r="B429" s="91"/>
      <c r="C429" s="91" t="s">
        <v>183</v>
      </c>
      <c r="D429" s="91" t="s">
        <v>184</v>
      </c>
      <c r="E429" s="91"/>
      <c r="F429" s="91"/>
      <c r="G429" s="108">
        <v>200000</v>
      </c>
      <c r="H429" s="108">
        <v>200000</v>
      </c>
      <c r="I429" s="108">
        <v>126668</v>
      </c>
      <c r="J429" s="268">
        <f t="shared" si="23"/>
        <v>0.63334</v>
      </c>
    </row>
    <row r="430" spans="1:10" ht="15.75" customHeight="1">
      <c r="A430" s="97"/>
      <c r="B430" s="88" t="s">
        <v>186</v>
      </c>
      <c r="C430" s="98"/>
      <c r="D430" s="88" t="s">
        <v>187</v>
      </c>
      <c r="E430" s="98"/>
      <c r="F430" s="91"/>
      <c r="G430" s="110">
        <f>G431+G432</f>
        <v>210000</v>
      </c>
      <c r="H430" s="110">
        <f>H431+H432</f>
        <v>210000</v>
      </c>
      <c r="I430" s="110">
        <f>I431+I432</f>
        <v>33902</v>
      </c>
      <c r="J430" s="267">
        <f t="shared" si="23"/>
        <v>0.16143809523809524</v>
      </c>
    </row>
    <row r="431" spans="1:10" ht="15.75" customHeight="1">
      <c r="A431" s="90"/>
      <c r="B431" s="91"/>
      <c r="C431" s="91" t="s">
        <v>188</v>
      </c>
      <c r="D431" s="91" t="s">
        <v>189</v>
      </c>
      <c r="E431" s="91"/>
      <c r="F431" s="91"/>
      <c r="G431" s="108">
        <v>110000</v>
      </c>
      <c r="H431" s="108">
        <v>110000</v>
      </c>
      <c r="I431" s="108">
        <v>16142</v>
      </c>
      <c r="J431" s="268">
        <f t="shared" si="23"/>
        <v>0.14674545454545454</v>
      </c>
    </row>
    <row r="432" spans="1:10" ht="15.75" customHeight="1">
      <c r="A432" s="90"/>
      <c r="B432" s="91"/>
      <c r="C432" s="91" t="s">
        <v>190</v>
      </c>
      <c r="D432" s="91" t="s">
        <v>191</v>
      </c>
      <c r="E432" s="91"/>
      <c r="F432" s="91"/>
      <c r="G432" s="108">
        <v>100000</v>
      </c>
      <c r="H432" s="108">
        <v>100000</v>
      </c>
      <c r="I432" s="108">
        <v>17760</v>
      </c>
      <c r="J432" s="268">
        <f t="shared" si="23"/>
        <v>0.1776</v>
      </c>
    </row>
    <row r="433" spans="1:10" ht="15.75" customHeight="1">
      <c r="A433" s="97"/>
      <c r="B433" s="88" t="s">
        <v>192</v>
      </c>
      <c r="C433" s="98"/>
      <c r="D433" s="88" t="s">
        <v>193</v>
      </c>
      <c r="E433" s="98"/>
      <c r="F433" s="91"/>
      <c r="G433" s="110">
        <f>G434+G435+G436</f>
        <v>1410000</v>
      </c>
      <c r="H433" s="110">
        <f>H434+H435+H436</f>
        <v>1410000</v>
      </c>
      <c r="I433" s="110">
        <f>I434+I435+I436</f>
        <v>1022903</v>
      </c>
      <c r="J433" s="267">
        <f t="shared" si="23"/>
        <v>0.7254631205673759</v>
      </c>
    </row>
    <row r="434" spans="1:10" ht="15.75" customHeight="1">
      <c r="A434" s="90"/>
      <c r="B434" s="91"/>
      <c r="C434" s="91" t="s">
        <v>194</v>
      </c>
      <c r="D434" s="91" t="s">
        <v>195</v>
      </c>
      <c r="E434" s="91"/>
      <c r="F434" s="91"/>
      <c r="G434" s="108">
        <v>910000</v>
      </c>
      <c r="H434" s="108">
        <v>910000</v>
      </c>
      <c r="I434" s="108">
        <v>752002</v>
      </c>
      <c r="J434" s="268">
        <f t="shared" si="23"/>
        <v>0.8263758241758242</v>
      </c>
    </row>
    <row r="435" spans="1:10" ht="15.75" customHeight="1">
      <c r="A435" s="90"/>
      <c r="B435" s="91"/>
      <c r="C435" s="91" t="s">
        <v>198</v>
      </c>
      <c r="D435" s="91" t="s">
        <v>199</v>
      </c>
      <c r="E435" s="91"/>
      <c r="F435" s="91"/>
      <c r="G435" s="108">
        <v>100000</v>
      </c>
      <c r="H435" s="108">
        <v>100000</v>
      </c>
      <c r="I435" s="108">
        <v>112081</v>
      </c>
      <c r="J435" s="268">
        <f t="shared" si="23"/>
        <v>1.12081</v>
      </c>
    </row>
    <row r="436" spans="1:10" ht="15.75" customHeight="1">
      <c r="A436" s="90"/>
      <c r="B436" s="91"/>
      <c r="C436" s="91" t="s">
        <v>200</v>
      </c>
      <c r="D436" s="91" t="s">
        <v>201</v>
      </c>
      <c r="E436" s="91"/>
      <c r="F436" s="91"/>
      <c r="G436" s="108">
        <v>400000</v>
      </c>
      <c r="H436" s="108">
        <v>400000</v>
      </c>
      <c r="I436" s="108">
        <v>158820</v>
      </c>
      <c r="J436" s="268">
        <f t="shared" si="23"/>
        <v>0.39705</v>
      </c>
    </row>
    <row r="437" spans="1:10" ht="15.75" customHeight="1">
      <c r="A437" s="90"/>
      <c r="B437" s="88" t="s">
        <v>202</v>
      </c>
      <c r="C437" s="91"/>
      <c r="D437" s="88" t="s">
        <v>274</v>
      </c>
      <c r="E437" s="93"/>
      <c r="F437" s="91"/>
      <c r="G437" s="109">
        <f>G438</f>
        <v>50000</v>
      </c>
      <c r="H437" s="109">
        <f>H438</f>
        <v>50000</v>
      </c>
      <c r="I437" s="109">
        <f>I438</f>
        <v>0</v>
      </c>
      <c r="J437" s="268">
        <f t="shared" si="23"/>
        <v>0</v>
      </c>
    </row>
    <row r="438" spans="1:10" ht="15.75" customHeight="1">
      <c r="A438" s="90"/>
      <c r="B438" s="91"/>
      <c r="C438" s="91" t="s">
        <v>204</v>
      </c>
      <c r="D438" s="91" t="s">
        <v>274</v>
      </c>
      <c r="E438" s="93"/>
      <c r="F438" s="91"/>
      <c r="G438" s="109">
        <v>50000</v>
      </c>
      <c r="H438" s="109">
        <v>50000</v>
      </c>
      <c r="I438" s="109">
        <v>0</v>
      </c>
      <c r="J438" s="268">
        <f t="shared" si="23"/>
        <v>0</v>
      </c>
    </row>
    <row r="439" spans="1:10" ht="15.75" customHeight="1">
      <c r="A439" s="97"/>
      <c r="B439" s="88" t="s">
        <v>206</v>
      </c>
      <c r="C439" s="98"/>
      <c r="D439" s="88" t="s">
        <v>207</v>
      </c>
      <c r="E439" s="98"/>
      <c r="F439" s="91"/>
      <c r="G439" s="110">
        <f>SUM(G440)</f>
        <v>500000</v>
      </c>
      <c r="H439" s="110">
        <f>SUM(H440)</f>
        <v>500000</v>
      </c>
      <c r="I439" s="110">
        <f>SUM(I440)</f>
        <v>305041</v>
      </c>
      <c r="J439" s="267">
        <f t="shared" si="23"/>
        <v>0.610082</v>
      </c>
    </row>
    <row r="440" spans="1:10" ht="15.75" customHeight="1">
      <c r="A440" s="90"/>
      <c r="B440" s="91"/>
      <c r="C440" s="91" t="s">
        <v>208</v>
      </c>
      <c r="D440" s="91" t="s">
        <v>209</v>
      </c>
      <c r="E440" s="91"/>
      <c r="F440" s="91"/>
      <c r="G440" s="109">
        <v>500000</v>
      </c>
      <c r="H440" s="109">
        <v>500000</v>
      </c>
      <c r="I440" s="109">
        <v>305041</v>
      </c>
      <c r="J440" s="268">
        <f>I440/H440</f>
        <v>0.610082</v>
      </c>
    </row>
    <row r="441" spans="1:10" ht="15.75" customHeight="1">
      <c r="A441" s="90"/>
      <c r="B441" s="91"/>
      <c r="C441" s="91"/>
      <c r="D441" s="91"/>
      <c r="E441" s="91"/>
      <c r="F441" s="91"/>
      <c r="G441" s="109"/>
      <c r="H441" s="81"/>
      <c r="I441" s="81"/>
      <c r="J441" s="81"/>
    </row>
    <row r="442" spans="1:10" ht="15.75" customHeight="1">
      <c r="A442" s="84" t="s">
        <v>333</v>
      </c>
      <c r="B442" s="104"/>
      <c r="C442" s="104"/>
      <c r="D442" s="104"/>
      <c r="E442" s="104"/>
      <c r="F442" s="114">
        <v>1</v>
      </c>
      <c r="G442" s="107">
        <f>G443+G449+G452</f>
        <v>3334137.5</v>
      </c>
      <c r="H442" s="107">
        <f>H443+H449+H452</f>
        <v>270000</v>
      </c>
      <c r="I442" s="107">
        <f>I443+I449+I452</f>
        <v>88930</v>
      </c>
      <c r="J442" s="269">
        <f>I442/H442</f>
        <v>0.32937037037037037</v>
      </c>
    </row>
    <row r="443" spans="1:10" ht="15.75" customHeight="1">
      <c r="A443" s="87" t="s">
        <v>23</v>
      </c>
      <c r="B443" s="88"/>
      <c r="C443" s="88" t="s">
        <v>158</v>
      </c>
      <c r="D443" s="88"/>
      <c r="E443" s="88"/>
      <c r="F443" s="91"/>
      <c r="G443" s="110">
        <f>SUM(G444)</f>
        <v>2588500</v>
      </c>
      <c r="H443" s="110">
        <f>SUM(H444)</f>
        <v>0</v>
      </c>
      <c r="I443" s="110">
        <f>SUM(I444)</f>
        <v>0</v>
      </c>
      <c r="J443" s="110">
        <f>SUM(J444)</f>
        <v>0</v>
      </c>
    </row>
    <row r="444" spans="1:10" ht="15.75" customHeight="1">
      <c r="A444" s="90"/>
      <c r="B444" s="88" t="s">
        <v>159</v>
      </c>
      <c r="C444" s="88"/>
      <c r="D444" s="88" t="s">
        <v>160</v>
      </c>
      <c r="E444" s="88"/>
      <c r="F444" s="91"/>
      <c r="G444" s="110">
        <f>SUM(G445:G448)</f>
        <v>2588500</v>
      </c>
      <c r="H444" s="110">
        <f>SUM(H445:H448)</f>
        <v>0</v>
      </c>
      <c r="I444" s="110">
        <f>SUM(I445:I448)</f>
        <v>0</v>
      </c>
      <c r="J444" s="110">
        <f>SUM(J445:J448)</f>
        <v>0</v>
      </c>
    </row>
    <row r="445" spans="1:10" ht="15.75" customHeight="1">
      <c r="A445" s="81"/>
      <c r="B445" s="91"/>
      <c r="C445" s="91" t="s">
        <v>161</v>
      </c>
      <c r="D445" s="91" t="s">
        <v>162</v>
      </c>
      <c r="E445" s="91"/>
      <c r="F445" s="91"/>
      <c r="G445" s="108">
        <v>2340000</v>
      </c>
      <c r="H445" s="108">
        <v>0</v>
      </c>
      <c r="I445" s="108">
        <v>0</v>
      </c>
      <c r="J445" s="108">
        <v>0</v>
      </c>
    </row>
    <row r="446" spans="1:10" ht="15.75" customHeight="1">
      <c r="A446" s="81"/>
      <c r="B446" s="91"/>
      <c r="C446" s="91" t="s">
        <v>332</v>
      </c>
      <c r="D446" s="91" t="s">
        <v>343</v>
      </c>
      <c r="E446" s="91"/>
      <c r="F446" s="91"/>
      <c r="G446" s="108">
        <v>97500</v>
      </c>
      <c r="H446" s="108">
        <v>0</v>
      </c>
      <c r="I446" s="108">
        <v>0</v>
      </c>
      <c r="J446" s="108">
        <v>0</v>
      </c>
    </row>
    <row r="447" spans="1:10" ht="15.75" customHeight="1">
      <c r="A447" s="90"/>
      <c r="B447" s="91"/>
      <c r="C447" s="91" t="s">
        <v>163</v>
      </c>
      <c r="D447" s="91" t="s">
        <v>164</v>
      </c>
      <c r="E447" s="91"/>
      <c r="F447" s="91"/>
      <c r="G447" s="108">
        <v>151000</v>
      </c>
      <c r="H447" s="108">
        <v>0</v>
      </c>
      <c r="I447" s="108">
        <v>0</v>
      </c>
      <c r="J447" s="108">
        <v>0</v>
      </c>
    </row>
    <row r="448" spans="1:10" ht="15.75" customHeight="1">
      <c r="A448" s="90"/>
      <c r="B448" s="91"/>
      <c r="C448" s="90" t="s">
        <v>230</v>
      </c>
      <c r="D448" s="91" t="s">
        <v>160</v>
      </c>
      <c r="E448" s="91"/>
      <c r="F448" s="91"/>
      <c r="G448" s="108">
        <v>0</v>
      </c>
      <c r="H448" s="108">
        <v>0</v>
      </c>
      <c r="I448" s="108">
        <v>0</v>
      </c>
      <c r="J448" s="108">
        <v>0</v>
      </c>
    </row>
    <row r="449" spans="1:10" ht="15.75" customHeight="1">
      <c r="A449" s="87" t="s">
        <v>25</v>
      </c>
      <c r="B449" s="88"/>
      <c r="C449" s="88" t="s">
        <v>175</v>
      </c>
      <c r="D449" s="95"/>
      <c r="E449" s="95"/>
      <c r="F449" s="91"/>
      <c r="G449" s="110">
        <f>SUM(G450:G451)</f>
        <v>475637.5</v>
      </c>
      <c r="H449" s="110">
        <f>SUM(H450:H451)</f>
        <v>0</v>
      </c>
      <c r="I449" s="110">
        <f>SUM(I450:I451)</f>
        <v>0</v>
      </c>
      <c r="J449" s="110">
        <f>SUM(J450:J451)</f>
        <v>0</v>
      </c>
    </row>
    <row r="450" spans="1:10" ht="15.75" customHeight="1">
      <c r="A450" s="90"/>
      <c r="B450" s="91"/>
      <c r="C450" s="91"/>
      <c r="D450" s="93" t="s">
        <v>176</v>
      </c>
      <c r="E450" s="91"/>
      <c r="F450" s="91"/>
      <c r="G450" s="108">
        <f>G444*0.175</f>
        <v>452987.5</v>
      </c>
      <c r="H450" s="108">
        <f>H444*0.175</f>
        <v>0</v>
      </c>
      <c r="I450" s="108">
        <f>I444*0.175</f>
        <v>0</v>
      </c>
      <c r="J450" s="108">
        <f>J444*0.175</f>
        <v>0</v>
      </c>
    </row>
    <row r="451" spans="1:10" ht="15.75" customHeight="1">
      <c r="A451" s="90"/>
      <c r="B451" s="91"/>
      <c r="C451" s="91"/>
      <c r="D451" s="93" t="s">
        <v>177</v>
      </c>
      <c r="E451" s="91"/>
      <c r="F451" s="91"/>
      <c r="G451" s="108">
        <f>G447*0.15</f>
        <v>22650</v>
      </c>
      <c r="H451" s="108">
        <f>H447*0.15</f>
        <v>0</v>
      </c>
      <c r="I451" s="108">
        <f>I447*0.15</f>
        <v>0</v>
      </c>
      <c r="J451" s="108">
        <f>J447*0.15</f>
        <v>0</v>
      </c>
    </row>
    <row r="452" spans="1:10" ht="15.75" customHeight="1">
      <c r="A452" s="87" t="s">
        <v>27</v>
      </c>
      <c r="B452" s="88"/>
      <c r="C452" s="88" t="s">
        <v>28</v>
      </c>
      <c r="D452" s="88"/>
      <c r="E452" s="88"/>
      <c r="F452" s="91"/>
      <c r="G452" s="110">
        <f>G453+G458</f>
        <v>270000</v>
      </c>
      <c r="H452" s="110">
        <f>H453+H458</f>
        <v>270000</v>
      </c>
      <c r="I452" s="110">
        <f>I453+I458+I456</f>
        <v>88930</v>
      </c>
      <c r="J452" s="267">
        <f aca="true" t="shared" si="24" ref="J452:J458">I452/H452</f>
        <v>0.32937037037037037</v>
      </c>
    </row>
    <row r="453" spans="1:10" ht="15.75" customHeight="1">
      <c r="A453" s="97"/>
      <c r="B453" s="88" t="s">
        <v>178</v>
      </c>
      <c r="C453" s="98"/>
      <c r="D453" s="88" t="s">
        <v>179</v>
      </c>
      <c r="E453" s="99"/>
      <c r="F453" s="91"/>
      <c r="G453" s="110">
        <f>G454+G455</f>
        <v>250000</v>
      </c>
      <c r="H453" s="110">
        <f>H454+H455</f>
        <v>250000</v>
      </c>
      <c r="I453" s="110">
        <f>I454+I455</f>
        <v>80289</v>
      </c>
      <c r="J453" s="267">
        <f t="shared" si="24"/>
        <v>0.321156</v>
      </c>
    </row>
    <row r="454" spans="1:10" ht="15.75" customHeight="1">
      <c r="A454" s="90"/>
      <c r="B454" s="91"/>
      <c r="C454" s="91" t="s">
        <v>180</v>
      </c>
      <c r="D454" s="91" t="s">
        <v>181</v>
      </c>
      <c r="E454" s="97"/>
      <c r="F454" s="91"/>
      <c r="G454" s="108">
        <v>150000</v>
      </c>
      <c r="H454" s="108">
        <v>150000</v>
      </c>
      <c r="I454" s="108">
        <v>80289</v>
      </c>
      <c r="J454" s="268">
        <f t="shared" si="24"/>
        <v>0.53526</v>
      </c>
    </row>
    <row r="455" spans="1:10" ht="15.75" customHeight="1">
      <c r="A455" s="90"/>
      <c r="B455" s="91"/>
      <c r="C455" s="91" t="s">
        <v>183</v>
      </c>
      <c r="D455" s="91" t="s">
        <v>184</v>
      </c>
      <c r="E455" s="91"/>
      <c r="F455" s="91"/>
      <c r="G455" s="108">
        <v>100000</v>
      </c>
      <c r="H455" s="108">
        <v>100000</v>
      </c>
      <c r="I455" s="108">
        <v>0</v>
      </c>
      <c r="J455" s="268">
        <f t="shared" si="24"/>
        <v>0</v>
      </c>
    </row>
    <row r="456" spans="1:10" ht="15.75" customHeight="1">
      <c r="A456" s="90"/>
      <c r="B456" s="88" t="s">
        <v>192</v>
      </c>
      <c r="C456" s="98"/>
      <c r="D456" s="88" t="s">
        <v>193</v>
      </c>
      <c r="E456" s="91"/>
      <c r="F456" s="91"/>
      <c r="G456" s="108"/>
      <c r="H456" s="108"/>
      <c r="I456" s="110">
        <f>SUM(I457)</f>
        <v>1817</v>
      </c>
      <c r="J456" s="268"/>
    </row>
    <row r="457" spans="1:10" ht="15.75" customHeight="1">
      <c r="A457" s="90"/>
      <c r="B457" s="91"/>
      <c r="C457" s="91" t="s">
        <v>200</v>
      </c>
      <c r="D457" s="91" t="s">
        <v>201</v>
      </c>
      <c r="E457" s="91"/>
      <c r="F457" s="91"/>
      <c r="G457" s="108"/>
      <c r="H457" s="108"/>
      <c r="I457" s="108">
        <v>1817</v>
      </c>
      <c r="J457" s="268"/>
    </row>
    <row r="458" spans="1:10" ht="15.75" customHeight="1">
      <c r="A458" s="90"/>
      <c r="B458" s="88" t="s">
        <v>206</v>
      </c>
      <c r="C458" s="98"/>
      <c r="D458" s="88" t="s">
        <v>207</v>
      </c>
      <c r="E458" s="98"/>
      <c r="F458" s="91"/>
      <c r="G458" s="110">
        <f>SUM(G459)</f>
        <v>20000</v>
      </c>
      <c r="H458" s="110">
        <f>SUM(H459)</f>
        <v>20000</v>
      </c>
      <c r="I458" s="110">
        <f>SUM(I459)</f>
        <v>6824</v>
      </c>
      <c r="J458" s="267">
        <f t="shared" si="24"/>
        <v>0.3412</v>
      </c>
    </row>
    <row r="459" spans="1:10" ht="15.75" customHeight="1">
      <c r="A459" s="90"/>
      <c r="B459" s="91"/>
      <c r="C459" s="91" t="s">
        <v>208</v>
      </c>
      <c r="D459" s="91" t="s">
        <v>209</v>
      </c>
      <c r="E459" s="91"/>
      <c r="F459" s="91"/>
      <c r="G459" s="109">
        <v>20000</v>
      </c>
      <c r="H459" s="109">
        <v>20000</v>
      </c>
      <c r="I459" s="109">
        <v>6824</v>
      </c>
      <c r="J459" s="268">
        <f>I459/H459</f>
        <v>0.3412</v>
      </c>
    </row>
    <row r="460" spans="1:10" ht="15.75" customHeight="1">
      <c r="A460" s="90"/>
      <c r="B460" s="91"/>
      <c r="C460" s="91"/>
      <c r="D460" s="91"/>
      <c r="E460" s="91"/>
      <c r="F460" s="91"/>
      <c r="G460" s="109"/>
      <c r="H460" s="81"/>
      <c r="I460" s="81"/>
      <c r="J460" s="81"/>
    </row>
    <row r="461" spans="1:10" ht="15.75" customHeight="1">
      <c r="A461" s="84" t="s">
        <v>334</v>
      </c>
      <c r="B461" s="104"/>
      <c r="C461" s="104"/>
      <c r="D461" s="104"/>
      <c r="E461" s="104"/>
      <c r="F461" s="114">
        <v>0.25</v>
      </c>
      <c r="G461" s="107">
        <f>G462+G466+G468</f>
        <v>807365</v>
      </c>
      <c r="H461" s="107">
        <f>H462+H466+H468</f>
        <v>279886</v>
      </c>
      <c r="I461" s="107">
        <f>I462+I466+I468</f>
        <v>230686</v>
      </c>
      <c r="J461" s="269">
        <f>I461/H461</f>
        <v>0.8242141443301916</v>
      </c>
    </row>
    <row r="462" spans="1:10" ht="15.75" customHeight="1">
      <c r="A462" s="87" t="s">
        <v>23</v>
      </c>
      <c r="B462" s="88"/>
      <c r="C462" s="88" t="s">
        <v>158</v>
      </c>
      <c r="D462" s="88"/>
      <c r="E462" s="88"/>
      <c r="F462" s="91"/>
      <c r="G462" s="110">
        <f>SUM(G463)</f>
        <v>631800</v>
      </c>
      <c r="H462" s="110">
        <f>SUM(H463)</f>
        <v>0</v>
      </c>
      <c r="I462" s="110">
        <f>SUM(I463)</f>
        <v>0</v>
      </c>
      <c r="J462" s="110">
        <f>SUM(J463)</f>
        <v>0</v>
      </c>
    </row>
    <row r="463" spans="1:10" ht="15.75" customHeight="1">
      <c r="A463" s="90"/>
      <c r="B463" s="88" t="s">
        <v>159</v>
      </c>
      <c r="C463" s="88"/>
      <c r="D463" s="88" t="s">
        <v>160</v>
      </c>
      <c r="E463" s="88"/>
      <c r="F463" s="91"/>
      <c r="G463" s="110">
        <f>SUM(G464:G465)</f>
        <v>631800</v>
      </c>
      <c r="H463" s="110">
        <f>SUM(H464:H465)</f>
        <v>0</v>
      </c>
      <c r="I463" s="110">
        <f>SUM(I464:I465)</f>
        <v>0</v>
      </c>
      <c r="J463" s="110">
        <f>SUM(J464:J465)</f>
        <v>0</v>
      </c>
    </row>
    <row r="464" spans="1:10" ht="15.75" customHeight="1">
      <c r="A464" s="81"/>
      <c r="B464" s="91"/>
      <c r="C464" s="91" t="s">
        <v>161</v>
      </c>
      <c r="D464" s="91" t="s">
        <v>162</v>
      </c>
      <c r="E464" s="91"/>
      <c r="F464" s="91"/>
      <c r="G464" s="108">
        <v>631800</v>
      </c>
      <c r="H464" s="108">
        <v>0</v>
      </c>
      <c r="I464" s="108">
        <v>0</v>
      </c>
      <c r="J464" s="108">
        <v>0</v>
      </c>
    </row>
    <row r="465" spans="1:10" ht="15.75" customHeight="1">
      <c r="A465" s="90"/>
      <c r="B465" s="91"/>
      <c r="C465" s="90" t="s">
        <v>230</v>
      </c>
      <c r="D465" s="91" t="s">
        <v>160</v>
      </c>
      <c r="E465" s="91"/>
      <c r="F465" s="91"/>
      <c r="G465" s="108">
        <v>0</v>
      </c>
      <c r="H465" s="108">
        <v>0</v>
      </c>
      <c r="I465" s="108">
        <v>0</v>
      </c>
      <c r="J465" s="108">
        <v>0</v>
      </c>
    </row>
    <row r="466" spans="1:10" ht="15.75" customHeight="1">
      <c r="A466" s="87" t="s">
        <v>25</v>
      </c>
      <c r="B466" s="88"/>
      <c r="C466" s="88" t="s">
        <v>175</v>
      </c>
      <c r="D466" s="95"/>
      <c r="E466" s="95"/>
      <c r="F466" s="91"/>
      <c r="G466" s="110">
        <f>SUM(G467)</f>
        <v>110565</v>
      </c>
      <c r="H466" s="110">
        <f>SUM(H467)</f>
        <v>0</v>
      </c>
      <c r="I466" s="110">
        <f>SUM(I467)</f>
        <v>0</v>
      </c>
      <c r="J466" s="110">
        <f>SUM(J467)</f>
        <v>0</v>
      </c>
    </row>
    <row r="467" spans="1:10" ht="15.75" customHeight="1">
      <c r="A467" s="90"/>
      <c r="B467" s="91"/>
      <c r="C467" s="91"/>
      <c r="D467" s="93" t="s">
        <v>176</v>
      </c>
      <c r="E467" s="91"/>
      <c r="F467" s="91"/>
      <c r="G467" s="108">
        <f>G463*0.175</f>
        <v>110565</v>
      </c>
      <c r="H467" s="108">
        <f>H463*0.175</f>
        <v>0</v>
      </c>
      <c r="I467" s="108">
        <f>I463*0.175</f>
        <v>0</v>
      </c>
      <c r="J467" s="108">
        <f>J463*0.175</f>
        <v>0</v>
      </c>
    </row>
    <row r="468" spans="1:10" ht="15.75" customHeight="1">
      <c r="A468" s="87" t="s">
        <v>27</v>
      </c>
      <c r="B468" s="88"/>
      <c r="C468" s="88" t="s">
        <v>28</v>
      </c>
      <c r="D468" s="88"/>
      <c r="E468" s="88"/>
      <c r="F468" s="91"/>
      <c r="G468" s="110">
        <f>G469+G475</f>
        <v>65000</v>
      </c>
      <c r="H468" s="110">
        <f>H469+H475+H471</f>
        <v>279886</v>
      </c>
      <c r="I468" s="110">
        <f>I469+I475+I471</f>
        <v>230686</v>
      </c>
      <c r="J468" s="267">
        <f aca="true" t="shared" si="25" ref="J468:J475">I468/H468</f>
        <v>0.8242141443301916</v>
      </c>
    </row>
    <row r="469" spans="1:10" ht="15.75" customHeight="1">
      <c r="A469" s="97"/>
      <c r="B469" s="88" t="s">
        <v>178</v>
      </c>
      <c r="C469" s="98"/>
      <c r="D469" s="88" t="s">
        <v>179</v>
      </c>
      <c r="E469" s="99"/>
      <c r="F469" s="91"/>
      <c r="G469" s="110">
        <f>G470+G478</f>
        <v>50000</v>
      </c>
      <c r="H469" s="110">
        <f>H470+H478</f>
        <v>50000</v>
      </c>
      <c r="I469" s="110">
        <f>I470+I478</f>
        <v>0</v>
      </c>
      <c r="J469" s="268">
        <f t="shared" si="25"/>
        <v>0</v>
      </c>
    </row>
    <row r="470" spans="1:10" ht="15.75" customHeight="1">
      <c r="A470" s="90"/>
      <c r="B470" s="91"/>
      <c r="C470" s="91" t="s">
        <v>180</v>
      </c>
      <c r="D470" s="91" t="s">
        <v>181</v>
      </c>
      <c r="E470" s="97"/>
      <c r="F470" s="91"/>
      <c r="G470" s="108">
        <v>50000</v>
      </c>
      <c r="H470" s="108">
        <v>50000</v>
      </c>
      <c r="I470" s="108">
        <v>0</v>
      </c>
      <c r="J470" s="268">
        <f t="shared" si="25"/>
        <v>0</v>
      </c>
    </row>
    <row r="471" spans="1:10" ht="15.75" customHeight="1">
      <c r="A471" s="90"/>
      <c r="B471" s="88" t="s">
        <v>192</v>
      </c>
      <c r="C471" s="98"/>
      <c r="D471" s="88" t="s">
        <v>193</v>
      </c>
      <c r="E471" s="97"/>
      <c r="F471" s="91"/>
      <c r="G471" s="108"/>
      <c r="H471" s="110">
        <f>SUM(H472:H474)</f>
        <v>183434</v>
      </c>
      <c r="I471" s="110">
        <f>SUM(I472:I474)</f>
        <v>184234</v>
      </c>
      <c r="J471" s="267">
        <f t="shared" si="25"/>
        <v>1.0043612416454966</v>
      </c>
    </row>
    <row r="472" spans="1:10" ht="15.75" customHeight="1">
      <c r="A472" s="90"/>
      <c r="B472" s="91"/>
      <c r="C472" s="91" t="s">
        <v>194</v>
      </c>
      <c r="D472" s="91" t="s">
        <v>195</v>
      </c>
      <c r="E472" s="97"/>
      <c r="F472" s="91"/>
      <c r="G472" s="108"/>
      <c r="H472" s="108">
        <v>107845</v>
      </c>
      <c r="I472" s="108">
        <v>107845</v>
      </c>
      <c r="J472" s="268">
        <f t="shared" si="25"/>
        <v>1</v>
      </c>
    </row>
    <row r="473" spans="1:10" ht="15.75" customHeight="1">
      <c r="A473" s="90"/>
      <c r="B473" s="91"/>
      <c r="C473" s="91" t="s">
        <v>198</v>
      </c>
      <c r="D473" s="91" t="s">
        <v>473</v>
      </c>
      <c r="E473" s="97"/>
      <c r="F473" s="91"/>
      <c r="G473" s="108"/>
      <c r="H473" s="108"/>
      <c r="I473" s="108">
        <v>800</v>
      </c>
      <c r="J473" s="268"/>
    </row>
    <row r="474" spans="1:10" ht="15.75" customHeight="1">
      <c r="A474" s="90"/>
      <c r="B474" s="91"/>
      <c r="C474" s="91" t="s">
        <v>200</v>
      </c>
      <c r="D474" s="91" t="s">
        <v>201</v>
      </c>
      <c r="E474" s="97"/>
      <c r="F474" s="91"/>
      <c r="G474" s="108"/>
      <c r="H474" s="108">
        <v>75589</v>
      </c>
      <c r="I474" s="108">
        <v>75589</v>
      </c>
      <c r="J474" s="268">
        <f t="shared" si="25"/>
        <v>1</v>
      </c>
    </row>
    <row r="475" spans="1:10" ht="15.75" customHeight="1">
      <c r="A475" s="90"/>
      <c r="B475" s="88" t="s">
        <v>206</v>
      </c>
      <c r="C475" s="98"/>
      <c r="D475" s="88" t="s">
        <v>207</v>
      </c>
      <c r="E475" s="98"/>
      <c r="F475" s="91"/>
      <c r="G475" s="110">
        <f>SUM(G476)</f>
        <v>15000</v>
      </c>
      <c r="H475" s="110">
        <f>SUM(H476)</f>
        <v>46452</v>
      </c>
      <c r="I475" s="110">
        <f>SUM(I476)</f>
        <v>46452</v>
      </c>
      <c r="J475" s="267">
        <f t="shared" si="25"/>
        <v>1</v>
      </c>
    </row>
    <row r="476" spans="1:10" ht="15.75" customHeight="1">
      <c r="A476" s="90"/>
      <c r="B476" s="91"/>
      <c r="C476" s="91" t="s">
        <v>208</v>
      </c>
      <c r="D476" s="91" t="s">
        <v>209</v>
      </c>
      <c r="E476" s="91"/>
      <c r="F476" s="91"/>
      <c r="G476" s="108">
        <v>15000</v>
      </c>
      <c r="H476" s="108">
        <v>46452</v>
      </c>
      <c r="I476" s="108">
        <v>46452</v>
      </c>
      <c r="J476" s="268">
        <f>I476/H476</f>
        <v>1</v>
      </c>
    </row>
    <row r="477" spans="1:10" ht="15.75" customHeight="1">
      <c r="A477" s="90"/>
      <c r="B477" s="91"/>
      <c r="C477" s="91"/>
      <c r="D477" s="91"/>
      <c r="E477" s="97"/>
      <c r="F477" s="91"/>
      <c r="G477" s="108"/>
      <c r="H477" s="81"/>
      <c r="I477" s="81"/>
      <c r="J477" s="81"/>
    </row>
    <row r="478" spans="1:10" ht="15.75" customHeight="1">
      <c r="A478" s="90"/>
      <c r="B478" s="91"/>
      <c r="C478" s="91"/>
      <c r="D478" s="91"/>
      <c r="E478" s="91"/>
      <c r="F478" s="91"/>
      <c r="G478" s="108"/>
      <c r="H478" s="81"/>
      <c r="I478" s="81"/>
      <c r="J478" s="81"/>
    </row>
    <row r="479" spans="1:10" ht="15.75" customHeight="1">
      <c r="A479" s="84" t="s">
        <v>153</v>
      </c>
      <c r="B479" s="104"/>
      <c r="C479" s="104"/>
      <c r="D479" s="104"/>
      <c r="E479" s="104"/>
      <c r="F479" s="114">
        <v>2.5</v>
      </c>
      <c r="G479" s="107">
        <f>G480+G486+G489</f>
        <v>23625418.084</v>
      </c>
      <c r="H479" s="107">
        <f>H480+H486+H489+H506</f>
        <v>24087328.88</v>
      </c>
      <c r="I479" s="107">
        <f>I480+I486+I489+I506</f>
        <v>22266990</v>
      </c>
      <c r="J479" s="269">
        <f>I479/H479</f>
        <v>0.9244275324562264</v>
      </c>
    </row>
    <row r="480" spans="1:10" ht="15.75" customHeight="1">
      <c r="A480" s="87" t="s">
        <v>23</v>
      </c>
      <c r="B480" s="88"/>
      <c r="C480" s="88" t="s">
        <v>158</v>
      </c>
      <c r="D480" s="88"/>
      <c r="E480" s="88"/>
      <c r="F480" s="91"/>
      <c r="G480" s="110">
        <f>G481</f>
        <v>8186206.88</v>
      </c>
      <c r="H480" s="110">
        <f>H481</f>
        <v>8212406.88</v>
      </c>
      <c r="I480" s="110">
        <f>I481</f>
        <v>8238095</v>
      </c>
      <c r="J480" s="267">
        <f aca="true" t="shared" si="26" ref="J480:J508">I480/H480</f>
        <v>1.003127964843359</v>
      </c>
    </row>
    <row r="481" spans="1:10" ht="15.75" customHeight="1">
      <c r="A481" s="90"/>
      <c r="B481" s="88" t="s">
        <v>159</v>
      </c>
      <c r="C481" s="88"/>
      <c r="D481" s="88" t="s">
        <v>160</v>
      </c>
      <c r="E481" s="88"/>
      <c r="F481" s="91"/>
      <c r="G481" s="110">
        <f>SUM(G482:G485)</f>
        <v>8186206.88</v>
      </c>
      <c r="H481" s="110">
        <f>SUM(H482:H485)</f>
        <v>8212406.88</v>
      </c>
      <c r="I481" s="110">
        <f>SUM(I482:I485)</f>
        <v>8238095</v>
      </c>
      <c r="J481" s="267">
        <f t="shared" si="26"/>
        <v>1.003127964843359</v>
      </c>
    </row>
    <row r="482" spans="1:10" ht="15.75" customHeight="1">
      <c r="A482" s="81"/>
      <c r="B482" s="91"/>
      <c r="C482" s="91" t="s">
        <v>161</v>
      </c>
      <c r="D482" s="91" t="s">
        <v>162</v>
      </c>
      <c r="E482" s="91"/>
      <c r="F482" s="91"/>
      <c r="G482" s="108">
        <f>(3079200+3079200+1119744)*1.02</f>
        <v>7423706.88</v>
      </c>
      <c r="H482" s="108">
        <f>(3079200+3079200+1119744)*1.02</f>
        <v>7423706.88</v>
      </c>
      <c r="I482" s="108">
        <v>7451281</v>
      </c>
      <c r="J482" s="268">
        <f t="shared" si="26"/>
        <v>1.00371433307453</v>
      </c>
    </row>
    <row r="483" spans="1:10" ht="15.75" customHeight="1">
      <c r="A483" s="81"/>
      <c r="B483" s="91"/>
      <c r="C483" s="91" t="s">
        <v>332</v>
      </c>
      <c r="D483" s="91" t="s">
        <v>343</v>
      </c>
      <c r="E483" s="91"/>
      <c r="F483" s="91"/>
      <c r="G483" s="108">
        <v>305000</v>
      </c>
      <c r="H483" s="108">
        <v>305000</v>
      </c>
      <c r="I483" s="108">
        <v>303256</v>
      </c>
      <c r="J483" s="268">
        <f t="shared" si="26"/>
        <v>0.9942819672131148</v>
      </c>
    </row>
    <row r="484" spans="1:10" ht="15.75" customHeight="1">
      <c r="A484" s="90"/>
      <c r="B484" s="91"/>
      <c r="C484" s="91" t="s">
        <v>163</v>
      </c>
      <c r="D484" s="91" t="s">
        <v>164</v>
      </c>
      <c r="E484" s="91"/>
      <c r="F484" s="91"/>
      <c r="G484" s="108">
        <v>377500</v>
      </c>
      <c r="H484" s="108">
        <v>377500</v>
      </c>
      <c r="I484" s="108">
        <v>377358</v>
      </c>
      <c r="J484" s="268">
        <f t="shared" si="26"/>
        <v>0.9996238410596027</v>
      </c>
    </row>
    <row r="485" spans="1:10" ht="15.75" customHeight="1">
      <c r="A485" s="90"/>
      <c r="B485" s="91"/>
      <c r="C485" s="91" t="s">
        <v>230</v>
      </c>
      <c r="D485" s="91" t="s">
        <v>160</v>
      </c>
      <c r="E485" s="91"/>
      <c r="F485" s="91"/>
      <c r="G485" s="108">
        <v>80000</v>
      </c>
      <c r="H485" s="108">
        <v>106200</v>
      </c>
      <c r="I485" s="108">
        <v>106200</v>
      </c>
      <c r="J485" s="268">
        <f t="shared" si="26"/>
        <v>1</v>
      </c>
    </row>
    <row r="486" spans="1:10" ht="15.75" customHeight="1">
      <c r="A486" s="87" t="s">
        <v>25</v>
      </c>
      <c r="B486" s="88"/>
      <c r="C486" s="88" t="s">
        <v>175</v>
      </c>
      <c r="D486" s="95"/>
      <c r="E486" s="95"/>
      <c r="F486" s="91"/>
      <c r="G486" s="110">
        <f>SUM(G487:G488)</f>
        <v>1489211.204</v>
      </c>
      <c r="H486" s="110">
        <f>SUM(H487:H488)</f>
        <v>1489211</v>
      </c>
      <c r="I486" s="110">
        <f>SUM(I487:I488)</f>
        <v>1418571</v>
      </c>
      <c r="J486" s="267">
        <f t="shared" si="26"/>
        <v>0.9525654860191067</v>
      </c>
    </row>
    <row r="487" spans="1:10" ht="15.75" customHeight="1">
      <c r="A487" s="90"/>
      <c r="B487" s="91"/>
      <c r="C487" s="91"/>
      <c r="D487" s="93" t="s">
        <v>176</v>
      </c>
      <c r="E487" s="91"/>
      <c r="F487" s="91"/>
      <c r="G487" s="108">
        <f>G481*0.175</f>
        <v>1432586.204</v>
      </c>
      <c r="H487" s="108">
        <v>1432586</v>
      </c>
      <c r="I487" s="108">
        <v>1361968</v>
      </c>
      <c r="J487" s="268">
        <f t="shared" si="26"/>
        <v>0.9507059262061754</v>
      </c>
    </row>
    <row r="488" spans="1:10" ht="15.75" customHeight="1">
      <c r="A488" s="90"/>
      <c r="B488" s="91"/>
      <c r="C488" s="91"/>
      <c r="D488" s="93" t="s">
        <v>177</v>
      </c>
      <c r="E488" s="91"/>
      <c r="F488" s="91"/>
      <c r="G488" s="108">
        <f>G484*0.15</f>
        <v>56625</v>
      </c>
      <c r="H488" s="108">
        <v>56625</v>
      </c>
      <c r="I488" s="108">
        <v>56603</v>
      </c>
      <c r="J488" s="268">
        <f t="shared" si="26"/>
        <v>0.9996114790286976</v>
      </c>
    </row>
    <row r="489" spans="1:10" ht="15.75" customHeight="1">
      <c r="A489" s="87" t="s">
        <v>27</v>
      </c>
      <c r="B489" s="88"/>
      <c r="C489" s="88" t="s">
        <v>28</v>
      </c>
      <c r="D489" s="88"/>
      <c r="E489" s="88"/>
      <c r="F489" s="91"/>
      <c r="G489" s="110">
        <f>G490+G493+G496+G500+G503</f>
        <v>13950000</v>
      </c>
      <c r="H489" s="110">
        <f>H490+H493+H496+H500+H503</f>
        <v>11559995</v>
      </c>
      <c r="I489" s="110">
        <f>I490+I493+I496+I500+I503</f>
        <v>9784608</v>
      </c>
      <c r="J489" s="267">
        <f t="shared" si="26"/>
        <v>0.8464197432611347</v>
      </c>
    </row>
    <row r="490" spans="1:10" ht="15.75" customHeight="1">
      <c r="A490" s="97"/>
      <c r="B490" s="88" t="s">
        <v>178</v>
      </c>
      <c r="C490" s="98"/>
      <c r="D490" s="88" t="s">
        <v>179</v>
      </c>
      <c r="E490" s="99"/>
      <c r="F490" s="91"/>
      <c r="G490" s="110">
        <f>G491+G492</f>
        <v>2350000</v>
      </c>
      <c r="H490" s="110">
        <f>H491+H492</f>
        <v>2393190</v>
      </c>
      <c r="I490" s="110">
        <f>I491+I492</f>
        <v>1700259</v>
      </c>
      <c r="J490" s="267">
        <f t="shared" si="26"/>
        <v>0.7104571722261919</v>
      </c>
    </row>
    <row r="491" spans="1:10" ht="15.75" customHeight="1">
      <c r="A491" s="90"/>
      <c r="B491" s="91"/>
      <c r="C491" s="91" t="s">
        <v>180</v>
      </c>
      <c r="D491" s="91" t="s">
        <v>181</v>
      </c>
      <c r="E491" s="97"/>
      <c r="F491" s="91"/>
      <c r="G491" s="108">
        <v>550000</v>
      </c>
      <c r="H491" s="108">
        <v>550000</v>
      </c>
      <c r="I491" s="108">
        <v>593190</v>
      </c>
      <c r="J491" s="268">
        <f t="shared" si="26"/>
        <v>1.0785272727272728</v>
      </c>
    </row>
    <row r="492" spans="1:10" ht="15.75" customHeight="1">
      <c r="A492" s="90"/>
      <c r="B492" s="91"/>
      <c r="C492" s="91" t="s">
        <v>183</v>
      </c>
      <c r="D492" s="91" t="s">
        <v>184</v>
      </c>
      <c r="E492" s="91"/>
      <c r="F492" s="91"/>
      <c r="G492" s="108">
        <v>1800000</v>
      </c>
      <c r="H492" s="108">
        <v>1843190</v>
      </c>
      <c r="I492" s="108">
        <v>1107069</v>
      </c>
      <c r="J492" s="268">
        <f t="shared" si="26"/>
        <v>0.6006266310038575</v>
      </c>
    </row>
    <row r="493" spans="1:10" ht="15.75" customHeight="1">
      <c r="A493" s="97"/>
      <c r="B493" s="88" t="s">
        <v>186</v>
      </c>
      <c r="C493" s="98"/>
      <c r="D493" s="88" t="s">
        <v>187</v>
      </c>
      <c r="E493" s="98"/>
      <c r="F493" s="91"/>
      <c r="G493" s="110">
        <f>G494+G495</f>
        <v>420000</v>
      </c>
      <c r="H493" s="110">
        <f>H494+H495</f>
        <v>420000</v>
      </c>
      <c r="I493" s="110">
        <f>I494+I495</f>
        <v>98652</v>
      </c>
      <c r="J493" s="267">
        <f t="shared" si="26"/>
        <v>0.23488571428571428</v>
      </c>
    </row>
    <row r="494" spans="1:10" ht="15.75" customHeight="1">
      <c r="A494" s="90"/>
      <c r="B494" s="91"/>
      <c r="C494" s="91" t="s">
        <v>188</v>
      </c>
      <c r="D494" s="91" t="s">
        <v>189</v>
      </c>
      <c r="E494" s="91"/>
      <c r="F494" s="91"/>
      <c r="G494" s="108">
        <v>300000</v>
      </c>
      <c r="H494" s="108">
        <v>300000</v>
      </c>
      <c r="I494" s="108">
        <v>35274</v>
      </c>
      <c r="J494" s="268">
        <f t="shared" si="26"/>
        <v>0.11758</v>
      </c>
    </row>
    <row r="495" spans="1:10" ht="15.75" customHeight="1">
      <c r="A495" s="90"/>
      <c r="B495" s="91"/>
      <c r="C495" s="91" t="s">
        <v>190</v>
      </c>
      <c r="D495" s="91" t="s">
        <v>191</v>
      </c>
      <c r="E495" s="91"/>
      <c r="F495" s="91"/>
      <c r="G495" s="108">
        <v>120000</v>
      </c>
      <c r="H495" s="108">
        <v>120000</v>
      </c>
      <c r="I495" s="108">
        <v>63378</v>
      </c>
      <c r="J495" s="268">
        <f t="shared" si="26"/>
        <v>0.52815</v>
      </c>
    </row>
    <row r="496" spans="1:10" ht="15.75" customHeight="1">
      <c r="A496" s="97"/>
      <c r="B496" s="88" t="s">
        <v>192</v>
      </c>
      <c r="C496" s="98"/>
      <c r="D496" s="88" t="s">
        <v>193</v>
      </c>
      <c r="E496" s="98"/>
      <c r="F496" s="91"/>
      <c r="G496" s="110">
        <f>G497+G498+G499</f>
        <v>8300000</v>
      </c>
      <c r="H496" s="110">
        <f>H497+H498+H499</f>
        <v>7353803</v>
      </c>
      <c r="I496" s="110">
        <f>I497+I498+I499</f>
        <v>7204376</v>
      </c>
      <c r="J496" s="267">
        <f t="shared" si="26"/>
        <v>0.9796803096302689</v>
      </c>
    </row>
    <row r="497" spans="1:10" ht="15.75" customHeight="1">
      <c r="A497" s="90"/>
      <c r="B497" s="91"/>
      <c r="C497" s="91" t="s">
        <v>194</v>
      </c>
      <c r="D497" s="91" t="s">
        <v>195</v>
      </c>
      <c r="E497" s="91"/>
      <c r="F497" s="91"/>
      <c r="G497" s="108">
        <v>1200000</v>
      </c>
      <c r="H497" s="108">
        <v>1200000</v>
      </c>
      <c r="I497" s="108">
        <v>751978</v>
      </c>
      <c r="J497" s="268">
        <f t="shared" si="26"/>
        <v>0.6266483333333334</v>
      </c>
    </row>
    <row r="498" spans="1:10" ht="15.75" customHeight="1">
      <c r="A498" s="90"/>
      <c r="B498" s="91"/>
      <c r="C498" s="91" t="s">
        <v>198</v>
      </c>
      <c r="D498" s="91" t="s">
        <v>199</v>
      </c>
      <c r="E498" s="91"/>
      <c r="F498" s="91"/>
      <c r="G498" s="108">
        <v>100000</v>
      </c>
      <c r="H498" s="108">
        <v>216803</v>
      </c>
      <c r="I498" s="108">
        <v>216803</v>
      </c>
      <c r="J498" s="268">
        <f t="shared" si="26"/>
        <v>1</v>
      </c>
    </row>
    <row r="499" spans="1:10" ht="15.75" customHeight="1">
      <c r="A499" s="90"/>
      <c r="B499" s="91"/>
      <c r="C499" s="91" t="s">
        <v>200</v>
      </c>
      <c r="D499" s="91" t="s">
        <v>201</v>
      </c>
      <c r="E499" s="91"/>
      <c r="F499" s="91"/>
      <c r="G499" s="108">
        <v>7000000</v>
      </c>
      <c r="H499" s="81">
        <v>5937000</v>
      </c>
      <c r="I499" s="81">
        <v>6235595</v>
      </c>
      <c r="J499" s="268">
        <f t="shared" si="26"/>
        <v>1.0502939194879568</v>
      </c>
    </row>
    <row r="500" spans="1:10" ht="15.75" customHeight="1">
      <c r="A500" s="97"/>
      <c r="B500" s="88" t="s">
        <v>202</v>
      </c>
      <c r="C500" s="98"/>
      <c r="D500" s="88" t="s">
        <v>203</v>
      </c>
      <c r="E500" s="98"/>
      <c r="F500" s="91"/>
      <c r="G500" s="110">
        <f>G501+G502</f>
        <v>380000</v>
      </c>
      <c r="H500" s="110">
        <f>H501+H502</f>
        <v>380000</v>
      </c>
      <c r="I500" s="110">
        <f>I501+I502</f>
        <v>26084</v>
      </c>
      <c r="J500" s="267">
        <f t="shared" si="26"/>
        <v>0.0686421052631579</v>
      </c>
    </row>
    <row r="501" spans="1:10" ht="15.75" customHeight="1">
      <c r="A501" s="90"/>
      <c r="B501" s="91"/>
      <c r="C501" s="91" t="s">
        <v>204</v>
      </c>
      <c r="D501" s="91" t="s">
        <v>205</v>
      </c>
      <c r="E501" s="91"/>
      <c r="F501" s="91"/>
      <c r="G501" s="108">
        <v>280000</v>
      </c>
      <c r="H501" s="108">
        <v>280000</v>
      </c>
      <c r="I501" s="108">
        <v>22805</v>
      </c>
      <c r="J501" s="268">
        <f t="shared" si="26"/>
        <v>0.08144642857142857</v>
      </c>
    </row>
    <row r="502" spans="1:10" ht="15.75" customHeight="1">
      <c r="A502" s="90"/>
      <c r="B502" s="91"/>
      <c r="C502" s="91" t="s">
        <v>253</v>
      </c>
      <c r="D502" s="91" t="s">
        <v>254</v>
      </c>
      <c r="E502" s="91"/>
      <c r="F502" s="91"/>
      <c r="G502" s="108">
        <v>100000</v>
      </c>
      <c r="H502" s="108">
        <v>100000</v>
      </c>
      <c r="I502" s="108">
        <v>3279</v>
      </c>
      <c r="J502" s="268">
        <f t="shared" si="26"/>
        <v>0.03279</v>
      </c>
    </row>
    <row r="503" spans="1:10" ht="15.75" customHeight="1">
      <c r="A503" s="97"/>
      <c r="B503" s="88" t="s">
        <v>206</v>
      </c>
      <c r="C503" s="98"/>
      <c r="D503" s="88" t="s">
        <v>207</v>
      </c>
      <c r="E503" s="98"/>
      <c r="F503" s="91"/>
      <c r="G503" s="110">
        <v>2500000</v>
      </c>
      <c r="H503" s="110">
        <f>SUM(H504:H505)</f>
        <v>1013002</v>
      </c>
      <c r="I503" s="110">
        <f>SUM(I504:I505)</f>
        <v>755237</v>
      </c>
      <c r="J503" s="267">
        <f t="shared" si="26"/>
        <v>0.7455434441393008</v>
      </c>
    </row>
    <row r="504" spans="1:10" ht="15.75" customHeight="1">
      <c r="A504" s="90"/>
      <c r="B504" s="91"/>
      <c r="C504" s="91" t="s">
        <v>208</v>
      </c>
      <c r="D504" s="91" t="s">
        <v>209</v>
      </c>
      <c r="E504" s="91"/>
      <c r="F504" s="91"/>
      <c r="G504" s="108">
        <v>2500000</v>
      </c>
      <c r="H504" s="144">
        <v>1013000</v>
      </c>
      <c r="I504" s="144">
        <v>755235</v>
      </c>
      <c r="J504" s="268">
        <f t="shared" si="26"/>
        <v>0.745542941757157</v>
      </c>
    </row>
    <row r="505" spans="1:10" ht="15.75" customHeight="1">
      <c r="A505" s="90"/>
      <c r="B505" s="91"/>
      <c r="C505" s="91" t="s">
        <v>452</v>
      </c>
      <c r="D505" s="91" t="s">
        <v>453</v>
      </c>
      <c r="E505" s="91"/>
      <c r="F505" s="91"/>
      <c r="G505" s="108"/>
      <c r="H505" s="144">
        <v>2</v>
      </c>
      <c r="I505" s="144">
        <v>2</v>
      </c>
      <c r="J505" s="268">
        <f t="shared" si="26"/>
        <v>1</v>
      </c>
    </row>
    <row r="506" spans="1:10" ht="15.75" customHeight="1">
      <c r="A506" s="101" t="s">
        <v>34</v>
      </c>
      <c r="B506" s="91"/>
      <c r="C506" s="88" t="s">
        <v>35</v>
      </c>
      <c r="D506" s="91"/>
      <c r="E506" s="91"/>
      <c r="F506" s="91"/>
      <c r="G506" s="82">
        <f>SUM(G507:G509)</f>
        <v>0</v>
      </c>
      <c r="H506" s="82">
        <f>SUM(H507:H509)</f>
        <v>2825716</v>
      </c>
      <c r="I506" s="82">
        <f>SUM(I507:I509)</f>
        <v>2825716</v>
      </c>
      <c r="J506" s="267">
        <f t="shared" si="26"/>
        <v>1</v>
      </c>
    </row>
    <row r="507" spans="1:10" ht="15.75" customHeight="1">
      <c r="A507" s="101"/>
      <c r="B507" s="88" t="s">
        <v>434</v>
      </c>
      <c r="C507" s="88"/>
      <c r="D507" s="91" t="s">
        <v>435</v>
      </c>
      <c r="E507" s="91"/>
      <c r="F507" s="91"/>
      <c r="G507" s="108">
        <v>0</v>
      </c>
      <c r="H507" s="144">
        <v>38819</v>
      </c>
      <c r="I507" s="144">
        <v>38819</v>
      </c>
      <c r="J507" s="268">
        <f t="shared" si="26"/>
        <v>1</v>
      </c>
    </row>
    <row r="508" spans="1:10" ht="15.75" customHeight="1">
      <c r="A508" s="90"/>
      <c r="B508" s="88" t="s">
        <v>340</v>
      </c>
      <c r="C508" s="91"/>
      <c r="D508" s="91" t="s">
        <v>339</v>
      </c>
      <c r="E508" s="91"/>
      <c r="F508" s="91"/>
      <c r="G508" s="108">
        <v>0</v>
      </c>
      <c r="H508" s="144">
        <v>2186153</v>
      </c>
      <c r="I508" s="144">
        <v>2186153</v>
      </c>
      <c r="J508" s="268">
        <f t="shared" si="26"/>
        <v>1</v>
      </c>
    </row>
    <row r="509" spans="1:10" ht="15.75" customHeight="1">
      <c r="A509" s="90"/>
      <c r="B509" s="88" t="s">
        <v>237</v>
      </c>
      <c r="C509" s="91"/>
      <c r="D509" s="91" t="s">
        <v>238</v>
      </c>
      <c r="E509" s="91"/>
      <c r="F509" s="91"/>
      <c r="G509" s="108">
        <v>0</v>
      </c>
      <c r="H509" s="81">
        <v>600744</v>
      </c>
      <c r="I509" s="81">
        <v>600744</v>
      </c>
      <c r="J509" s="268">
        <f>I509/H509</f>
        <v>1</v>
      </c>
    </row>
    <row r="510" spans="1:10" ht="15.75" customHeight="1">
      <c r="A510" s="90"/>
      <c r="B510" s="88"/>
      <c r="C510" s="91"/>
      <c r="D510" s="91"/>
      <c r="E510" s="91"/>
      <c r="F510" s="91"/>
      <c r="G510" s="108"/>
      <c r="H510" s="81"/>
      <c r="I510" s="81"/>
      <c r="J510" s="81"/>
    </row>
    <row r="511" spans="1:10" ht="15.75" customHeight="1">
      <c r="A511" s="84" t="s">
        <v>275</v>
      </c>
      <c r="B511" s="104"/>
      <c r="C511" s="104"/>
      <c r="D511" s="104"/>
      <c r="E511" s="104"/>
      <c r="F511" s="104"/>
      <c r="G511" s="107">
        <f>G521+G512</f>
        <v>5020000</v>
      </c>
      <c r="H511" s="107">
        <f>H521+H512</f>
        <v>600000</v>
      </c>
      <c r="I511" s="107">
        <f>I521+I512</f>
        <v>300000</v>
      </c>
      <c r="J511" s="269">
        <f>I511/H511</f>
        <v>0.5</v>
      </c>
    </row>
    <row r="512" spans="1:10" ht="15.75" customHeight="1">
      <c r="A512" s="87" t="s">
        <v>27</v>
      </c>
      <c r="B512" s="127"/>
      <c r="C512" s="127" t="s">
        <v>28</v>
      </c>
      <c r="D512" s="127"/>
      <c r="E512" s="127"/>
      <c r="F512" s="127"/>
      <c r="G512" s="128">
        <f>G516+G513+G519</f>
        <v>4420000</v>
      </c>
      <c r="H512" s="128">
        <f>H516+H513+H519</f>
        <v>0</v>
      </c>
      <c r="I512" s="128">
        <f>I516+I513+I519</f>
        <v>0</v>
      </c>
      <c r="J512" s="128"/>
    </row>
    <row r="513" spans="1:10" ht="15.75" customHeight="1">
      <c r="A513" s="97"/>
      <c r="B513" s="88" t="s">
        <v>178</v>
      </c>
      <c r="C513" s="98"/>
      <c r="D513" s="88" t="s">
        <v>179</v>
      </c>
      <c r="E513" s="99"/>
      <c r="F513" s="127"/>
      <c r="G513" s="128">
        <f aca="true" t="shared" si="27" ref="G513:I514">G514</f>
        <v>1000000</v>
      </c>
      <c r="H513" s="128">
        <f t="shared" si="27"/>
        <v>0</v>
      </c>
      <c r="I513" s="128">
        <f t="shared" si="27"/>
        <v>0</v>
      </c>
      <c r="J513" s="128"/>
    </row>
    <row r="514" spans="1:10" ht="15.75" customHeight="1">
      <c r="A514" s="90"/>
      <c r="B514" s="91"/>
      <c r="C514" s="91" t="s">
        <v>183</v>
      </c>
      <c r="D514" s="91" t="s">
        <v>184</v>
      </c>
      <c r="E514" s="91"/>
      <c r="F514" s="127"/>
      <c r="G514" s="109">
        <f t="shared" si="27"/>
        <v>1000000</v>
      </c>
      <c r="H514" s="109">
        <f t="shared" si="27"/>
        <v>0</v>
      </c>
      <c r="I514" s="109">
        <f t="shared" si="27"/>
        <v>0</v>
      </c>
      <c r="J514" s="109"/>
    </row>
    <row r="515" spans="1:10" ht="15.75" customHeight="1">
      <c r="A515" s="87"/>
      <c r="B515" s="88"/>
      <c r="C515" s="88"/>
      <c r="D515" s="88"/>
      <c r="E515" s="93" t="s">
        <v>185</v>
      </c>
      <c r="F515" s="127"/>
      <c r="G515" s="109">
        <v>1000000</v>
      </c>
      <c r="H515" s="109">
        <v>0</v>
      </c>
      <c r="I515" s="109">
        <v>0</v>
      </c>
      <c r="J515" s="109"/>
    </row>
    <row r="516" spans="1:10" ht="15.75" customHeight="1">
      <c r="A516" s="129"/>
      <c r="B516" s="127" t="s">
        <v>192</v>
      </c>
      <c r="C516" s="127" t="s">
        <v>193</v>
      </c>
      <c r="D516" s="127"/>
      <c r="E516" s="127"/>
      <c r="F516" s="127"/>
      <c r="G516" s="128">
        <f aca="true" t="shared" si="28" ref="G516:I517">G517</f>
        <v>3000000</v>
      </c>
      <c r="H516" s="128">
        <f t="shared" si="28"/>
        <v>0</v>
      </c>
      <c r="I516" s="128">
        <f t="shared" si="28"/>
        <v>0</v>
      </c>
      <c r="J516" s="128"/>
    </row>
    <row r="517" spans="1:10" ht="15.75" customHeight="1">
      <c r="A517" s="129"/>
      <c r="B517" s="127"/>
      <c r="C517" s="130" t="s">
        <v>200</v>
      </c>
      <c r="D517" s="130" t="s">
        <v>201</v>
      </c>
      <c r="E517" s="130"/>
      <c r="F517" s="127"/>
      <c r="G517" s="109">
        <f t="shared" si="28"/>
        <v>3000000</v>
      </c>
      <c r="H517" s="109">
        <f t="shared" si="28"/>
        <v>0</v>
      </c>
      <c r="I517" s="109">
        <f t="shared" si="28"/>
        <v>0</v>
      </c>
      <c r="J517" s="109"/>
    </row>
    <row r="518" spans="1:10" ht="15.75" customHeight="1">
      <c r="A518" s="129"/>
      <c r="B518" s="127"/>
      <c r="C518" s="127"/>
      <c r="D518" s="127"/>
      <c r="E518" s="130" t="s">
        <v>276</v>
      </c>
      <c r="F518" s="127"/>
      <c r="G518" s="109">
        <v>3000000</v>
      </c>
      <c r="H518" s="81">
        <v>0</v>
      </c>
      <c r="I518" s="81">
        <v>0</v>
      </c>
      <c r="J518" s="81"/>
    </row>
    <row r="519" spans="1:10" ht="15.75" customHeight="1">
      <c r="A519" s="129"/>
      <c r="B519" s="88" t="s">
        <v>206</v>
      </c>
      <c r="C519" s="98"/>
      <c r="D519" s="88" t="s">
        <v>207</v>
      </c>
      <c r="E519" s="98"/>
      <c r="F519" s="127"/>
      <c r="G519" s="128">
        <f>G520</f>
        <v>420000</v>
      </c>
      <c r="H519" s="128">
        <f>H520</f>
        <v>0</v>
      </c>
      <c r="I519" s="128">
        <f>I520</f>
        <v>0</v>
      </c>
      <c r="J519" s="128"/>
    </row>
    <row r="520" spans="1:10" ht="15.75" customHeight="1">
      <c r="A520" s="129"/>
      <c r="B520" s="91"/>
      <c r="C520" s="91" t="s">
        <v>208</v>
      </c>
      <c r="D520" s="91" t="s">
        <v>209</v>
      </c>
      <c r="E520" s="91"/>
      <c r="F520" s="127"/>
      <c r="G520" s="109">
        <v>420000</v>
      </c>
      <c r="H520" s="81">
        <v>0</v>
      </c>
      <c r="I520" s="81">
        <v>0</v>
      </c>
      <c r="J520" s="81"/>
    </row>
    <row r="521" spans="1:10" ht="15.75" customHeight="1">
      <c r="A521" s="87" t="s">
        <v>31</v>
      </c>
      <c r="B521" s="88"/>
      <c r="C521" s="88" t="s">
        <v>32</v>
      </c>
      <c r="D521" s="88"/>
      <c r="E521" s="88"/>
      <c r="F521" s="91"/>
      <c r="G521" s="110">
        <f aca="true" t="shared" si="29" ref="G521:I522">G522</f>
        <v>600000</v>
      </c>
      <c r="H521" s="110">
        <f t="shared" si="29"/>
        <v>600000</v>
      </c>
      <c r="I521" s="110">
        <f t="shared" si="29"/>
        <v>300000</v>
      </c>
      <c r="J521" s="267">
        <f>I521/H521</f>
        <v>0.5</v>
      </c>
    </row>
    <row r="522" spans="1:10" ht="15.75" customHeight="1">
      <c r="A522" s="90"/>
      <c r="B522" s="91"/>
      <c r="C522" s="91" t="s">
        <v>214</v>
      </c>
      <c r="D522" s="91" t="s">
        <v>215</v>
      </c>
      <c r="E522" s="91"/>
      <c r="F522" s="91"/>
      <c r="G522" s="109">
        <f t="shared" si="29"/>
        <v>600000</v>
      </c>
      <c r="H522" s="109">
        <f t="shared" si="29"/>
        <v>600000</v>
      </c>
      <c r="I522" s="109">
        <f t="shared" si="29"/>
        <v>300000</v>
      </c>
      <c r="J522" s="268">
        <f>I522/H522</f>
        <v>0.5</v>
      </c>
    </row>
    <row r="523" spans="1:10" ht="15.75" customHeight="1">
      <c r="A523" s="90"/>
      <c r="B523" s="91"/>
      <c r="C523" s="91"/>
      <c r="D523" s="91"/>
      <c r="E523" s="91" t="s">
        <v>277</v>
      </c>
      <c r="F523" s="91"/>
      <c r="G523" s="109">
        <v>600000</v>
      </c>
      <c r="H523" s="109">
        <v>600000</v>
      </c>
      <c r="I523" s="109">
        <v>300000</v>
      </c>
      <c r="J523" s="268">
        <f>I523/H523</f>
        <v>0.5</v>
      </c>
    </row>
    <row r="524" spans="1:10" ht="15.75" customHeight="1">
      <c r="A524" s="90"/>
      <c r="B524" s="88"/>
      <c r="C524" s="91"/>
      <c r="D524" s="91"/>
      <c r="E524" s="91"/>
      <c r="F524" s="91"/>
      <c r="G524" s="108"/>
      <c r="H524" s="81"/>
      <c r="I524" s="81"/>
      <c r="J524" s="81"/>
    </row>
    <row r="525" spans="1:10" ht="15.75" customHeight="1">
      <c r="A525" s="84" t="s">
        <v>280</v>
      </c>
      <c r="B525" s="104"/>
      <c r="C525" s="104"/>
      <c r="D525" s="104"/>
      <c r="E525" s="104"/>
      <c r="F525" s="102"/>
      <c r="G525" s="107">
        <f>SUM(G533)</f>
        <v>4800000</v>
      </c>
      <c r="H525" s="107">
        <f>H526+H533+H536</f>
        <v>7326210</v>
      </c>
      <c r="I525" s="107">
        <f>I526+I533+I536</f>
        <v>7242710</v>
      </c>
      <c r="J525" s="269">
        <f>I525/H525</f>
        <v>0.9886025653100307</v>
      </c>
    </row>
    <row r="526" spans="1:10" ht="15.75" customHeight="1">
      <c r="A526" s="87" t="s">
        <v>27</v>
      </c>
      <c r="B526" s="127"/>
      <c r="C526" s="127" t="s">
        <v>28</v>
      </c>
      <c r="D526" s="127"/>
      <c r="E526" s="127"/>
      <c r="F526" s="233"/>
      <c r="G526" s="147"/>
      <c r="H526" s="147">
        <f>H527+H529+H531</f>
        <v>1999510</v>
      </c>
      <c r="I526" s="147">
        <f>I527+I529+I531</f>
        <v>1999510</v>
      </c>
      <c r="J526" s="267">
        <f aca="true" t="shared" si="30" ref="J526:J534">I526/H526</f>
        <v>1</v>
      </c>
    </row>
    <row r="527" spans="1:10" ht="15.75" customHeight="1">
      <c r="A527" s="97"/>
      <c r="B527" s="88" t="s">
        <v>178</v>
      </c>
      <c r="C527" s="98"/>
      <c r="D527" s="88" t="s">
        <v>179</v>
      </c>
      <c r="E527" s="99"/>
      <c r="F527" s="233"/>
      <c r="G527" s="147"/>
      <c r="H527" s="147">
        <f>SUM(H528)</f>
        <v>1229898</v>
      </c>
      <c r="I527" s="147">
        <f>SUM(I528)</f>
        <v>1229898</v>
      </c>
      <c r="J527" s="267">
        <f t="shared" si="30"/>
        <v>1</v>
      </c>
    </row>
    <row r="528" spans="1:10" ht="15.75" customHeight="1">
      <c r="A528" s="90"/>
      <c r="B528" s="91"/>
      <c r="C528" s="91" t="s">
        <v>183</v>
      </c>
      <c r="D528" s="91" t="s">
        <v>184</v>
      </c>
      <c r="E528" s="91"/>
      <c r="F528" s="233"/>
      <c r="G528" s="147"/>
      <c r="H528" s="154">
        <v>1229898</v>
      </c>
      <c r="I528" s="154">
        <v>1229898</v>
      </c>
      <c r="J528" s="268">
        <f t="shared" si="30"/>
        <v>1</v>
      </c>
    </row>
    <row r="529" spans="1:10" ht="15.75" customHeight="1">
      <c r="A529" s="90"/>
      <c r="B529" s="127" t="s">
        <v>192</v>
      </c>
      <c r="C529" s="127" t="s">
        <v>193</v>
      </c>
      <c r="D529" s="127"/>
      <c r="E529" s="127"/>
      <c r="F529" s="233"/>
      <c r="G529" s="147"/>
      <c r="H529" s="147">
        <f>SUM(H530)</f>
        <v>356000</v>
      </c>
      <c r="I529" s="147">
        <f>SUM(I530)</f>
        <v>356000</v>
      </c>
      <c r="J529" s="267">
        <f t="shared" si="30"/>
        <v>1</v>
      </c>
    </row>
    <row r="530" spans="1:10" ht="15.75" customHeight="1">
      <c r="A530" s="90"/>
      <c r="B530" s="127"/>
      <c r="C530" s="130" t="s">
        <v>200</v>
      </c>
      <c r="D530" s="130" t="s">
        <v>201</v>
      </c>
      <c r="E530" s="130"/>
      <c r="F530" s="233"/>
      <c r="G530" s="147"/>
      <c r="H530" s="154">
        <v>356000</v>
      </c>
      <c r="I530" s="154">
        <v>356000</v>
      </c>
      <c r="J530" s="268">
        <f t="shared" si="30"/>
        <v>1</v>
      </c>
    </row>
    <row r="531" spans="1:10" ht="15.75" customHeight="1">
      <c r="A531" s="90"/>
      <c r="B531" s="88" t="s">
        <v>206</v>
      </c>
      <c r="C531" s="98"/>
      <c r="D531" s="88" t="s">
        <v>207</v>
      </c>
      <c r="E531" s="91"/>
      <c r="F531" s="233"/>
      <c r="G531" s="147"/>
      <c r="H531" s="147">
        <f>SUM(H532)</f>
        <v>413612</v>
      </c>
      <c r="I531" s="147">
        <f>SUM(I532)</f>
        <v>413612</v>
      </c>
      <c r="J531" s="267">
        <f t="shared" si="30"/>
        <v>1</v>
      </c>
    </row>
    <row r="532" spans="1:10" ht="15.75" customHeight="1">
      <c r="A532" s="90"/>
      <c r="B532" s="91"/>
      <c r="C532" s="91" t="s">
        <v>208</v>
      </c>
      <c r="D532" s="91" t="s">
        <v>209</v>
      </c>
      <c r="E532" s="91"/>
      <c r="F532" s="233"/>
      <c r="G532" s="147"/>
      <c r="H532" s="154">
        <v>413612</v>
      </c>
      <c r="I532" s="154">
        <v>413612</v>
      </c>
      <c r="J532" s="268">
        <f t="shared" si="30"/>
        <v>1</v>
      </c>
    </row>
    <row r="533" spans="1:10" ht="15.75" customHeight="1">
      <c r="A533" s="87" t="s">
        <v>29</v>
      </c>
      <c r="B533" s="91"/>
      <c r="C533" s="88" t="s">
        <v>278</v>
      </c>
      <c r="D533" s="88"/>
      <c r="E533" s="88"/>
      <c r="F533" s="91"/>
      <c r="G533" s="110">
        <f>G534+G536</f>
        <v>4800000</v>
      </c>
      <c r="H533" s="110">
        <f>H534+H536</f>
        <v>5326700</v>
      </c>
      <c r="I533" s="110">
        <f>I534+I536</f>
        <v>5243200</v>
      </c>
      <c r="J533" s="267">
        <f t="shared" si="30"/>
        <v>0.9843242532900295</v>
      </c>
    </row>
    <row r="534" spans="1:10" ht="15.75" customHeight="1">
      <c r="A534" s="90"/>
      <c r="B534" s="88" t="s">
        <v>281</v>
      </c>
      <c r="C534" s="88"/>
      <c r="D534" s="88" t="s">
        <v>282</v>
      </c>
      <c r="E534" s="88"/>
      <c r="F534" s="91"/>
      <c r="G534" s="110">
        <f>SUM(G535)</f>
        <v>4500000</v>
      </c>
      <c r="H534" s="110">
        <f>SUM(H535)</f>
        <v>5326700</v>
      </c>
      <c r="I534" s="110">
        <f>SUM(I535)</f>
        <v>5243200</v>
      </c>
      <c r="J534" s="267">
        <f t="shared" si="30"/>
        <v>0.9843242532900295</v>
      </c>
    </row>
    <row r="535" spans="1:10" ht="15.75" customHeight="1">
      <c r="A535" s="90"/>
      <c r="B535" s="88"/>
      <c r="C535" s="88"/>
      <c r="D535" s="88"/>
      <c r="E535" s="91" t="s">
        <v>283</v>
      </c>
      <c r="F535" s="91"/>
      <c r="G535" s="108">
        <v>4500000</v>
      </c>
      <c r="H535" s="108">
        <v>5326700</v>
      </c>
      <c r="I535" s="108">
        <v>5243200</v>
      </c>
      <c r="J535" s="268">
        <f>I535/H535</f>
        <v>0.9843242532900295</v>
      </c>
    </row>
    <row r="536" spans="1:10" ht="15.75" customHeight="1">
      <c r="A536" s="87" t="s">
        <v>31</v>
      </c>
      <c r="B536" s="88"/>
      <c r="C536" s="88" t="s">
        <v>32</v>
      </c>
      <c r="D536" s="88"/>
      <c r="E536" s="88"/>
      <c r="F536" s="91"/>
      <c r="G536" s="110">
        <f aca="true" t="shared" si="31" ref="G536:I537">G537</f>
        <v>300000</v>
      </c>
      <c r="H536" s="110">
        <f t="shared" si="31"/>
        <v>0</v>
      </c>
      <c r="I536" s="110">
        <f t="shared" si="31"/>
        <v>0</v>
      </c>
      <c r="J536" s="110"/>
    </row>
    <row r="537" spans="1:10" ht="15.75" customHeight="1">
      <c r="A537" s="90"/>
      <c r="B537" s="91"/>
      <c r="C537" s="91" t="s">
        <v>212</v>
      </c>
      <c r="D537" s="91" t="s">
        <v>213</v>
      </c>
      <c r="E537" s="91"/>
      <c r="F537" s="91"/>
      <c r="G537" s="108">
        <f t="shared" si="31"/>
        <v>300000</v>
      </c>
      <c r="H537" s="108">
        <f t="shared" si="31"/>
        <v>0</v>
      </c>
      <c r="I537" s="108">
        <f t="shared" si="31"/>
        <v>0</v>
      </c>
      <c r="J537" s="108"/>
    </row>
    <row r="538" spans="1:10" ht="15.75" customHeight="1">
      <c r="A538" s="90"/>
      <c r="B538" s="91"/>
      <c r="C538" s="91"/>
      <c r="D538" s="91"/>
      <c r="E538" s="91" t="s">
        <v>335</v>
      </c>
      <c r="F538" s="91"/>
      <c r="G538" s="108">
        <v>300000</v>
      </c>
      <c r="H538" s="108">
        <v>0</v>
      </c>
      <c r="I538" s="108">
        <v>0</v>
      </c>
      <c r="J538" s="268"/>
    </row>
    <row r="539" spans="1:10" ht="15.75" customHeight="1">
      <c r="A539" s="90"/>
      <c r="B539" s="91"/>
      <c r="C539" s="91"/>
      <c r="D539" s="91"/>
      <c r="E539" s="91"/>
      <c r="F539" s="91"/>
      <c r="G539" s="108"/>
      <c r="H539" s="81"/>
      <c r="I539" s="81"/>
      <c r="J539" s="81"/>
    </row>
    <row r="540" spans="1:10" ht="15.75" customHeight="1">
      <c r="A540" s="131"/>
      <c r="B540" s="102"/>
      <c r="C540" s="104" t="s">
        <v>284</v>
      </c>
      <c r="D540" s="104"/>
      <c r="E540" s="104"/>
      <c r="F540" s="114">
        <v>28.75</v>
      </c>
      <c r="G540" s="107">
        <f>G9+G81+G100+G122+G141+G164+G192+G205+G213+G232+G270+G292+G308+G351+G364+G368+G407+G415+G479+G525+G511+G118+G59+G113+G64+G461+G442+G153+G196+G136</f>
        <v>698302479.6079999</v>
      </c>
      <c r="H540" s="107">
        <f>H525+H511+H479+H461+H442+H415+H407+H368+H364+H351+H341+H308+H292+H270+H232+H213+H205+H196+H192+H164+H153+H141+H136+H122+H118+H113+H100+H81+H64+H59+H55+H9</f>
        <v>689841465.76</v>
      </c>
      <c r="I540" s="107">
        <f>I525+I511+I479+I461+I442+I415+I407+I368+I364+I351+I341+I308+I292+I270+I232+I213+I205+I196+I192+I164+I153+I141+I136+I122+I118+I113+I100+I81+I64+I59+I55+I9</f>
        <v>514286762</v>
      </c>
      <c r="J540" s="269">
        <f>I540/H540</f>
        <v>0.7455144225541864</v>
      </c>
    </row>
    <row r="541" spans="1:10" ht="15.75" customHeight="1">
      <c r="A541" s="90"/>
      <c r="B541" s="91"/>
      <c r="C541" s="88"/>
      <c r="D541" s="88"/>
      <c r="E541" s="88"/>
      <c r="F541" s="132"/>
      <c r="G541" s="110"/>
      <c r="H541" s="81"/>
      <c r="I541" s="81"/>
      <c r="J541" s="81"/>
    </row>
    <row r="542" spans="1:10" ht="15.75" customHeight="1">
      <c r="A542" s="87" t="s">
        <v>23</v>
      </c>
      <c r="B542" s="88"/>
      <c r="C542" s="88" t="s">
        <v>158</v>
      </c>
      <c r="D542" s="88"/>
      <c r="E542" s="88"/>
      <c r="F542" s="91"/>
      <c r="G542" s="108">
        <f>G10+G82+G123+G165+G214+G233+G309+G369+G416+G480+G462+G443+G271</f>
        <v>104580730.56</v>
      </c>
      <c r="H542" s="108">
        <f>H10+H82+H123+H165+H214+H233+H309+H369+H416+H480+H462+H443+H271</f>
        <v>107163729.75999999</v>
      </c>
      <c r="I542" s="108">
        <f>I10+I82+I123+I165+I214+I233+I309+I369+I416+I480+I462+I443+I271</f>
        <v>103513680</v>
      </c>
      <c r="J542" s="268">
        <f aca="true" t="shared" si="32" ref="J542:J550">I542/H542</f>
        <v>0.9659395042690796</v>
      </c>
    </row>
    <row r="543" spans="1:10" ht="15.75" customHeight="1">
      <c r="A543" s="87" t="s">
        <v>25</v>
      </c>
      <c r="B543" s="88"/>
      <c r="C543" s="88" t="s">
        <v>175</v>
      </c>
      <c r="D543" s="95"/>
      <c r="E543" s="95"/>
      <c r="F543" s="91"/>
      <c r="G543" s="108">
        <f>G19+G87+G127+G171+G219+G244+G319+G380+G423+G486+G466+G449+G274</f>
        <v>17917702.048</v>
      </c>
      <c r="H543" s="108">
        <f>H19+H87+H127+H171+H219+H244+H319+H380+H423+H486+H466+H449+H274</f>
        <v>17160783</v>
      </c>
      <c r="I543" s="108">
        <f>I19+I87+I127+I171+I219+I244+I319+I380+I423+I486+I466+I449+I274</f>
        <v>17160783</v>
      </c>
      <c r="J543" s="268">
        <f t="shared" si="32"/>
        <v>1</v>
      </c>
    </row>
    <row r="544" spans="1:10" ht="15.75" customHeight="1">
      <c r="A544" s="87" t="s">
        <v>27</v>
      </c>
      <c r="B544" s="88"/>
      <c r="C544" s="88" t="s">
        <v>28</v>
      </c>
      <c r="D544" s="88"/>
      <c r="E544" s="88"/>
      <c r="F544" s="91"/>
      <c r="G544" s="108">
        <f>G22+G90+G101+G142+G174+G206+G222+G248+G276+G293+G322+G352+G384+G408+G426+G489+G512+G130+G154+G468+G452</f>
        <v>207992000</v>
      </c>
      <c r="H544" s="108">
        <f>H526+H22+H90+H101+H142+H174+H206+H222+H248+H276+H293+H322+H352+H384+H408+H426+H489+H512+H130+H154+H468+H452+H342</f>
        <v>182018416</v>
      </c>
      <c r="I544" s="108">
        <f>I526+I22+I90+I101+I142+I174+I206+I222+I248+I276+I293+I322+I352+I384+I408+I426+I489+I512+I130+I154+I468+I452+I342</f>
        <v>112176163</v>
      </c>
      <c r="J544" s="268">
        <f t="shared" si="32"/>
        <v>0.6162901835163757</v>
      </c>
    </row>
    <row r="545" spans="1:10" ht="15.75" customHeight="1">
      <c r="A545" s="87" t="s">
        <v>29</v>
      </c>
      <c r="B545" s="91"/>
      <c r="C545" s="88" t="s">
        <v>278</v>
      </c>
      <c r="D545" s="88"/>
      <c r="E545" s="88"/>
      <c r="F545" s="91"/>
      <c r="G545" s="108">
        <f>G534</f>
        <v>4500000</v>
      </c>
      <c r="H545" s="108">
        <f>H534</f>
        <v>5326700</v>
      </c>
      <c r="I545" s="108">
        <f>I534</f>
        <v>5243200</v>
      </c>
      <c r="J545" s="268">
        <f t="shared" si="32"/>
        <v>0.9843242532900295</v>
      </c>
    </row>
    <row r="546" spans="1:10" ht="15.75" customHeight="1">
      <c r="A546" s="87" t="s">
        <v>31</v>
      </c>
      <c r="B546" s="88"/>
      <c r="C546" s="88" t="s">
        <v>32</v>
      </c>
      <c r="D546" s="88"/>
      <c r="E546" s="88"/>
      <c r="F546" s="133"/>
      <c r="G546" s="108">
        <f>G37+G289+G302+G365+G521+G114+G65+G536+G119</f>
        <v>175320172</v>
      </c>
      <c r="H546" s="108">
        <f>H37+H289+H302+H365+H521+H114+H65+H536+H119+H56</f>
        <v>184362067</v>
      </c>
      <c r="I546" s="108">
        <f>I37+I289+I302+I365+I521+I114+I65+I536+I119+I56</f>
        <v>83557126</v>
      </c>
      <c r="J546" s="268">
        <f t="shared" si="32"/>
        <v>0.4532229832289741</v>
      </c>
    </row>
    <row r="547" spans="1:10" ht="15.75" customHeight="1">
      <c r="A547" s="87" t="s">
        <v>34</v>
      </c>
      <c r="B547" s="88"/>
      <c r="C547" s="393" t="s">
        <v>35</v>
      </c>
      <c r="D547" s="393"/>
      <c r="E547" s="393"/>
      <c r="F547" s="91"/>
      <c r="G547" s="108">
        <f>G43+G399+G197</f>
        <v>76997078</v>
      </c>
      <c r="H547" s="108">
        <f>H43+H399+H197+H304+H262+H506</f>
        <v>77499306</v>
      </c>
      <c r="I547" s="108">
        <f>I43+I399+I197+I304+I262+I506</f>
        <v>76712625</v>
      </c>
      <c r="J547" s="268">
        <f t="shared" si="32"/>
        <v>0.9898491865204574</v>
      </c>
    </row>
    <row r="548" spans="1:10" ht="15.75" customHeight="1">
      <c r="A548" s="87" t="s">
        <v>36</v>
      </c>
      <c r="B548" s="88"/>
      <c r="C548" s="393" t="s">
        <v>285</v>
      </c>
      <c r="D548" s="393"/>
      <c r="E548" s="393"/>
      <c r="F548" s="91"/>
      <c r="G548" s="108">
        <f>G266+G403+G149+G109+G337+G137</f>
        <v>101293909</v>
      </c>
      <c r="H548" s="108">
        <f>H266+H403+H149+H109+H337+H137+H201+H48+H361</f>
        <v>107757414</v>
      </c>
      <c r="I548" s="108">
        <f>I266+I403+I149+I109+I337+I137+I201+I48+I361</f>
        <v>107450595</v>
      </c>
      <c r="J548" s="268">
        <f t="shared" si="32"/>
        <v>0.9971526877955702</v>
      </c>
    </row>
    <row r="549" spans="1:10" ht="15.75" customHeight="1">
      <c r="A549" s="87" t="s">
        <v>38</v>
      </c>
      <c r="B549" s="88"/>
      <c r="C549" s="88" t="s">
        <v>39</v>
      </c>
      <c r="D549" s="88"/>
      <c r="E549" s="88"/>
      <c r="F549" s="133"/>
      <c r="G549" s="108">
        <f>G193+G51</f>
        <v>2930600</v>
      </c>
      <c r="H549" s="108">
        <f>H193+H51+P120+H78</f>
        <v>1230600</v>
      </c>
      <c r="I549" s="108">
        <f>I193+I51+Q120+I78</f>
        <v>1150140</v>
      </c>
      <c r="J549" s="268">
        <f t="shared" si="32"/>
        <v>0.9346172598732325</v>
      </c>
    </row>
    <row r="550" spans="1:10" ht="15.75" customHeight="1">
      <c r="A550" s="87" t="s">
        <v>41</v>
      </c>
      <c r="B550" s="88"/>
      <c r="C550" s="88" t="s">
        <v>40</v>
      </c>
      <c r="D550" s="88"/>
      <c r="E550" s="88"/>
      <c r="F550" s="91"/>
      <c r="G550" s="108">
        <f>G60</f>
        <v>6770288</v>
      </c>
      <c r="H550" s="108">
        <f>H60</f>
        <v>7322450</v>
      </c>
      <c r="I550" s="108">
        <f>I60</f>
        <v>7322450</v>
      </c>
      <c r="J550" s="268">
        <f t="shared" si="32"/>
        <v>1</v>
      </c>
    </row>
    <row r="551" spans="1:10" ht="15.75" customHeight="1">
      <c r="A551" s="87"/>
      <c r="B551" s="88"/>
      <c r="C551" s="88" t="s">
        <v>284</v>
      </c>
      <c r="D551" s="88"/>
      <c r="E551" s="88"/>
      <c r="F551" s="88"/>
      <c r="G551" s="110">
        <f>SUM(G542:G550)</f>
        <v>698302479.608</v>
      </c>
      <c r="H551" s="110">
        <f>SUM(H542:H550)</f>
        <v>689841465.76</v>
      </c>
      <c r="I551" s="110">
        <f>SUM(I542:I550)</f>
        <v>514286762</v>
      </c>
      <c r="J551" s="267">
        <f>I551/H551</f>
        <v>0.7455144225541864</v>
      </c>
    </row>
  </sheetData>
  <sheetProtection selectLockedCells="1" selectUnlockedCells="1"/>
  <mergeCells count="20">
    <mergeCell ref="A1:J1"/>
    <mergeCell ref="A3:J3"/>
    <mergeCell ref="A4:J4"/>
    <mergeCell ref="A5:J5"/>
    <mergeCell ref="I7:I8"/>
    <mergeCell ref="J7:J8"/>
    <mergeCell ref="H7:H8"/>
    <mergeCell ref="F7:F8"/>
    <mergeCell ref="G7:G8"/>
    <mergeCell ref="A2:G2"/>
    <mergeCell ref="C547:E547"/>
    <mergeCell ref="C548:E548"/>
    <mergeCell ref="A6:G6"/>
    <mergeCell ref="D67:E67"/>
    <mergeCell ref="D70:E70"/>
    <mergeCell ref="D69:E69"/>
    <mergeCell ref="D71:E71"/>
    <mergeCell ref="D57:E57"/>
    <mergeCell ref="D68:E68"/>
    <mergeCell ref="A7:E8"/>
  </mergeCells>
  <printOptions headings="1"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9" r:id="rId1"/>
  <headerFooter alignWithMargins="0">
    <oddFooter>&amp;C&amp;P. oldal, összesen: &amp;N</oddFooter>
  </headerFooter>
  <rowBreaks count="7" manualBreakCount="7">
    <brk id="63" max="9" man="1"/>
    <brk id="140" max="9" man="1"/>
    <brk id="204" max="9" man="1"/>
    <brk id="269" max="9" man="1"/>
    <brk id="350" max="9" man="1"/>
    <brk id="414" max="9" man="1"/>
    <brk id="47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60" zoomScalePageLayoutView="0" workbookViewId="0" topLeftCell="A28">
      <selection activeCell="B48" sqref="B48"/>
    </sheetView>
  </sheetViews>
  <sheetFormatPr defaultColWidth="11.57421875" defaultRowHeight="12.75"/>
  <cols>
    <col min="1" max="1" width="44.421875" style="0" customWidth="1"/>
    <col min="2" max="3" width="13.28125" style="0" customWidth="1"/>
    <col min="4" max="4" width="9.140625" style="0" customWidth="1"/>
    <col min="5" max="5" width="17.28125" style="0" bestFit="1" customWidth="1"/>
    <col min="6" max="252" width="9.140625" style="0" customWidth="1"/>
  </cols>
  <sheetData>
    <row r="1" spans="1:5" ht="15.75">
      <c r="A1" s="388" t="s">
        <v>455</v>
      </c>
      <c r="B1" s="388"/>
      <c r="C1" s="388"/>
      <c r="D1" s="388"/>
      <c r="E1" s="388"/>
    </row>
    <row r="2" spans="1:5" ht="15.75">
      <c r="A2" s="331"/>
      <c r="B2" s="331"/>
      <c r="C2" s="331"/>
      <c r="D2" s="331"/>
      <c r="E2" s="331"/>
    </row>
    <row r="3" spans="1:5" ht="15.75">
      <c r="A3" s="339" t="s">
        <v>0</v>
      </c>
      <c r="B3" s="339"/>
      <c r="C3" s="339"/>
      <c r="D3" s="339"/>
      <c r="E3" s="339"/>
    </row>
    <row r="4" spans="1:5" ht="15.75">
      <c r="A4" s="339" t="s">
        <v>474</v>
      </c>
      <c r="B4" s="339"/>
      <c r="C4" s="339"/>
      <c r="D4" s="339"/>
      <c r="E4" s="339"/>
    </row>
    <row r="5" spans="1:5" ht="15.75">
      <c r="A5" s="339" t="s">
        <v>138</v>
      </c>
      <c r="B5" s="339"/>
      <c r="C5" s="339"/>
      <c r="D5" s="339"/>
      <c r="E5" s="339"/>
    </row>
    <row r="6" spans="1:5" ht="15.75">
      <c r="A6" s="44"/>
      <c r="B6" s="400" t="s">
        <v>154</v>
      </c>
      <c r="C6" s="400"/>
      <c r="D6" s="400"/>
      <c r="E6" s="400"/>
    </row>
    <row r="7" spans="1:5" ht="12.75" customHeight="1">
      <c r="A7" s="399" t="s">
        <v>140</v>
      </c>
      <c r="B7" s="392" t="s">
        <v>141</v>
      </c>
      <c r="C7" s="392" t="s">
        <v>142</v>
      </c>
      <c r="D7" s="392" t="s">
        <v>286</v>
      </c>
      <c r="E7" s="392" t="s">
        <v>144</v>
      </c>
    </row>
    <row r="8" spans="1:5" ht="12.75" customHeight="1">
      <c r="A8" s="399"/>
      <c r="B8" s="392"/>
      <c r="C8" s="392"/>
      <c r="D8" s="392"/>
      <c r="E8" s="392"/>
    </row>
    <row r="9" spans="1:5" ht="12.75" customHeight="1">
      <c r="A9" s="399"/>
      <c r="B9" s="392"/>
      <c r="C9" s="392"/>
      <c r="D9" s="392"/>
      <c r="E9" s="392"/>
    </row>
    <row r="10" spans="1:5" ht="15" customHeight="1">
      <c r="A10" s="399"/>
      <c r="B10" s="392"/>
      <c r="C10" s="392"/>
      <c r="D10" s="392"/>
      <c r="E10" s="392"/>
    </row>
    <row r="11" spans="1:5" ht="15.75">
      <c r="A11" s="52" t="s">
        <v>287</v>
      </c>
      <c r="B11" s="42">
        <f>'5.kiadás'!I9</f>
        <v>32985647</v>
      </c>
      <c r="C11" s="53"/>
      <c r="D11" s="42"/>
      <c r="E11" s="42">
        <f aca="true" t="shared" si="0" ref="E11:E47">SUM(B11:D11)</f>
        <v>32985647</v>
      </c>
    </row>
    <row r="12" spans="1:5" ht="15.75">
      <c r="A12" s="52" t="s">
        <v>288</v>
      </c>
      <c r="B12" s="42">
        <f>'5.kiadás'!I56</f>
        <v>494000</v>
      </c>
      <c r="C12" s="53"/>
      <c r="D12" s="42"/>
      <c r="E12" s="42">
        <f t="shared" si="0"/>
        <v>494000</v>
      </c>
    </row>
    <row r="13" spans="1:5" ht="15.75">
      <c r="A13" s="54" t="s">
        <v>220</v>
      </c>
      <c r="B13" s="38">
        <f>'5.kiadás'!I59</f>
        <v>7322450</v>
      </c>
      <c r="C13" s="53"/>
      <c r="D13" s="42"/>
      <c r="E13" s="42">
        <f t="shared" si="0"/>
        <v>7322450</v>
      </c>
    </row>
    <row r="14" spans="1:5" ht="15.75">
      <c r="A14" s="54" t="s">
        <v>289</v>
      </c>
      <c r="B14" s="38">
        <f>'5.kiadás'!I64</f>
        <v>74636261</v>
      </c>
      <c r="C14" s="53"/>
      <c r="D14" s="42"/>
      <c r="E14" s="42">
        <f t="shared" si="0"/>
        <v>74636261</v>
      </c>
    </row>
    <row r="15" spans="1:5" ht="15.75">
      <c r="A15" s="55" t="s">
        <v>147</v>
      </c>
      <c r="B15" s="38">
        <f>'5.kiadás'!I81</f>
        <v>2477049</v>
      </c>
      <c r="C15" s="42"/>
      <c r="D15" s="42"/>
      <c r="E15" s="42">
        <f t="shared" si="0"/>
        <v>2477049</v>
      </c>
    </row>
    <row r="16" spans="1:5" ht="24.75">
      <c r="A16" s="166" t="s">
        <v>290</v>
      </c>
      <c r="B16" s="38">
        <f>'5.kiadás'!I100</f>
        <v>17713577</v>
      </c>
      <c r="C16" s="42"/>
      <c r="D16" s="42"/>
      <c r="E16" s="42">
        <f t="shared" si="0"/>
        <v>17713577</v>
      </c>
    </row>
    <row r="17" spans="1:5" ht="15.75">
      <c r="A17" s="52" t="s">
        <v>291</v>
      </c>
      <c r="B17" s="38"/>
      <c r="C17" s="42">
        <f>'5.kiadás'!I113</f>
        <v>500000</v>
      </c>
      <c r="D17" s="42"/>
      <c r="E17" s="42">
        <f t="shared" si="0"/>
        <v>500000</v>
      </c>
    </row>
    <row r="18" spans="1:5" ht="15.75">
      <c r="A18" s="52" t="s">
        <v>292</v>
      </c>
      <c r="B18" s="38"/>
      <c r="C18" s="42">
        <f>'5.kiadás'!I118</f>
        <v>300000</v>
      </c>
      <c r="D18" s="42"/>
      <c r="E18" s="42">
        <f t="shared" si="0"/>
        <v>300000</v>
      </c>
    </row>
    <row r="19" spans="1:5" ht="15.75">
      <c r="A19" s="55" t="s">
        <v>109</v>
      </c>
      <c r="B19" s="38">
        <f>'5.kiadás'!I122</f>
        <v>768049</v>
      </c>
      <c r="C19" s="42"/>
      <c r="D19" s="42"/>
      <c r="E19" s="42">
        <f t="shared" si="0"/>
        <v>768049</v>
      </c>
    </row>
    <row r="20" spans="1:5" ht="15.75">
      <c r="A20" s="55" t="s">
        <v>386</v>
      </c>
      <c r="B20" s="38"/>
      <c r="C20" s="42">
        <f>'5.kiadás'!I136</f>
        <v>10760710</v>
      </c>
      <c r="D20" s="42"/>
      <c r="E20" s="42">
        <f t="shared" si="0"/>
        <v>10760710</v>
      </c>
    </row>
    <row r="21" spans="1:5" ht="15.75">
      <c r="A21" s="52" t="s">
        <v>246</v>
      </c>
      <c r="B21" s="38">
        <f>'5.kiadás'!I141</f>
        <v>928226</v>
      </c>
      <c r="C21" s="42"/>
      <c r="D21" s="42"/>
      <c r="E21" s="42">
        <f t="shared" si="0"/>
        <v>928226</v>
      </c>
    </row>
    <row r="22" spans="1:5" ht="15.75">
      <c r="A22" s="52" t="s">
        <v>341</v>
      </c>
      <c r="B22" s="38"/>
      <c r="C22" s="42">
        <f>'5.kiadás'!I153</f>
        <v>1091110</v>
      </c>
      <c r="D22" s="42"/>
      <c r="E22" s="42">
        <f t="shared" si="0"/>
        <v>1091110</v>
      </c>
    </row>
    <row r="23" spans="1:5" ht="15.75">
      <c r="A23" s="52" t="s">
        <v>110</v>
      </c>
      <c r="B23" s="53"/>
      <c r="C23" s="42">
        <f>'5.kiadás'!I164</f>
        <v>5915025</v>
      </c>
      <c r="D23" s="42"/>
      <c r="E23" s="42">
        <f t="shared" si="0"/>
        <v>5915025</v>
      </c>
    </row>
    <row r="24" spans="1:5" ht="15.75">
      <c r="A24" s="55" t="s">
        <v>293</v>
      </c>
      <c r="B24" s="38"/>
      <c r="C24" s="42">
        <f>'5.kiadás'!H192</f>
        <v>0</v>
      </c>
      <c r="D24" s="42"/>
      <c r="E24" s="42">
        <f t="shared" si="0"/>
        <v>0</v>
      </c>
    </row>
    <row r="25" spans="1:5" ht="15.75">
      <c r="A25" s="55" t="s">
        <v>374</v>
      </c>
      <c r="B25" s="38"/>
      <c r="C25" s="42">
        <f>'5.kiadás'!I196</f>
        <v>16846174</v>
      </c>
      <c r="D25" s="42"/>
      <c r="E25" s="42">
        <f t="shared" si="0"/>
        <v>16846174</v>
      </c>
    </row>
    <row r="26" spans="1:5" ht="15.75">
      <c r="A26" s="55" t="s">
        <v>258</v>
      </c>
      <c r="B26" s="38">
        <f>'5.kiadás'!I205</f>
        <v>13232254</v>
      </c>
      <c r="C26" s="42"/>
      <c r="D26" s="42"/>
      <c r="E26" s="42">
        <f t="shared" si="0"/>
        <v>13232254</v>
      </c>
    </row>
    <row r="27" spans="1:5" ht="15.75">
      <c r="A27" s="55" t="s">
        <v>259</v>
      </c>
      <c r="B27" s="38">
        <f>'5.kiadás'!I213</f>
        <v>5919582</v>
      </c>
      <c r="C27" s="42"/>
      <c r="D27" s="42"/>
      <c r="E27" s="42">
        <f t="shared" si="0"/>
        <v>5919582</v>
      </c>
    </row>
    <row r="28" spans="1:5" ht="15.75">
      <c r="A28" s="52" t="s">
        <v>113</v>
      </c>
      <c r="B28" s="38">
        <f>'5.kiadás'!I232</f>
        <v>91254189</v>
      </c>
      <c r="C28" s="42"/>
      <c r="D28" s="42"/>
      <c r="E28" s="42">
        <f t="shared" si="0"/>
        <v>91254189</v>
      </c>
    </row>
    <row r="29" spans="1:5" ht="15.75">
      <c r="A29" s="55" t="s">
        <v>265</v>
      </c>
      <c r="B29" s="38">
        <f>'5.kiadás'!I270</f>
        <v>4552927</v>
      </c>
      <c r="C29" s="42"/>
      <c r="D29" s="42"/>
      <c r="E29" s="42">
        <f t="shared" si="0"/>
        <v>4552927</v>
      </c>
    </row>
    <row r="30" spans="1:5" ht="15.75">
      <c r="A30" s="55" t="s">
        <v>266</v>
      </c>
      <c r="B30" s="38"/>
      <c r="C30" s="42"/>
      <c r="D30" s="42"/>
      <c r="E30" s="42">
        <f t="shared" si="0"/>
        <v>0</v>
      </c>
    </row>
    <row r="31" spans="1:5" ht="15.75">
      <c r="A31" s="55" t="s">
        <v>114</v>
      </c>
      <c r="B31" s="38">
        <f>'5.kiadás'!I292</f>
        <v>5076972</v>
      </c>
      <c r="C31" s="42"/>
      <c r="D31" s="42"/>
      <c r="E31" s="42">
        <f t="shared" si="0"/>
        <v>5076972</v>
      </c>
    </row>
    <row r="32" spans="1:5" ht="15.75">
      <c r="A32" s="55" t="s">
        <v>115</v>
      </c>
      <c r="B32" s="38">
        <f>'5.kiadás'!I308</f>
        <v>29123613</v>
      </c>
      <c r="C32" s="42"/>
      <c r="D32" s="42"/>
      <c r="E32" s="42">
        <f t="shared" si="0"/>
        <v>29123613</v>
      </c>
    </row>
    <row r="33" spans="1:5" ht="24.75">
      <c r="A33" s="167" t="s">
        <v>417</v>
      </c>
      <c r="B33" s="38">
        <f>'5.kiadás'!I341</f>
        <v>488952</v>
      </c>
      <c r="C33" s="42"/>
      <c r="D33" s="42"/>
      <c r="E33" s="42">
        <f t="shared" si="0"/>
        <v>488952</v>
      </c>
    </row>
    <row r="34" spans="1:5" ht="15.75">
      <c r="A34" s="55" t="s">
        <v>294</v>
      </c>
      <c r="B34" s="53"/>
      <c r="C34" s="42">
        <f>'5.kiadás'!I351</f>
        <v>1123413</v>
      </c>
      <c r="D34" s="42"/>
      <c r="E34" s="42">
        <f t="shared" si="0"/>
        <v>1123413</v>
      </c>
    </row>
    <row r="35" spans="1:5" ht="24.75">
      <c r="A35" s="166" t="s">
        <v>295</v>
      </c>
      <c r="B35" s="53"/>
      <c r="C35" s="42">
        <f>'5.kiadás'!H364</f>
        <v>0</v>
      </c>
      <c r="D35" s="42"/>
      <c r="E35" s="42">
        <f t="shared" si="0"/>
        <v>0</v>
      </c>
    </row>
    <row r="36" spans="1:5" ht="15.75">
      <c r="A36" s="55" t="s">
        <v>116</v>
      </c>
      <c r="B36" s="53"/>
      <c r="C36" s="42">
        <f>'5.kiadás'!I368</f>
        <v>155003253</v>
      </c>
      <c r="D36" s="42"/>
      <c r="E36" s="42">
        <f t="shared" si="0"/>
        <v>155003253</v>
      </c>
    </row>
    <row r="37" spans="1:5" ht="15.75">
      <c r="A37" s="55" t="s">
        <v>273</v>
      </c>
      <c r="B37" s="53"/>
      <c r="C37" s="42">
        <f>'5.kiadás'!I407</f>
        <v>572832</v>
      </c>
      <c r="D37" s="42"/>
      <c r="E37" s="42">
        <f t="shared" si="0"/>
        <v>572832</v>
      </c>
    </row>
    <row r="38" spans="1:5" ht="15.75">
      <c r="A38" s="55" t="s">
        <v>118</v>
      </c>
      <c r="B38" s="53"/>
      <c r="C38" s="42">
        <f>'5.kiadás'!I415</f>
        <v>5071181</v>
      </c>
      <c r="D38" s="42"/>
      <c r="E38" s="42">
        <f t="shared" si="0"/>
        <v>5071181</v>
      </c>
    </row>
    <row r="39" spans="1:5" ht="15.75">
      <c r="A39" s="55" t="s">
        <v>333</v>
      </c>
      <c r="B39" s="53"/>
      <c r="C39" s="42">
        <f>'5.kiadás'!I442</f>
        <v>88930</v>
      </c>
      <c r="D39" s="42"/>
      <c r="E39" s="42">
        <f t="shared" si="0"/>
        <v>88930</v>
      </c>
    </row>
    <row r="40" spans="1:5" ht="15.75">
      <c r="A40" s="55" t="s">
        <v>334</v>
      </c>
      <c r="B40" s="53"/>
      <c r="C40" s="42">
        <f>'5.kiadás'!I461</f>
        <v>230686</v>
      </c>
      <c r="D40" s="42"/>
      <c r="E40" s="42">
        <f t="shared" si="0"/>
        <v>230686</v>
      </c>
    </row>
    <row r="41" spans="1:5" ht="15.75">
      <c r="A41" s="55" t="s">
        <v>153</v>
      </c>
      <c r="B41" s="53"/>
      <c r="C41" s="42">
        <f>'5.kiadás'!I479</f>
        <v>22266990</v>
      </c>
      <c r="D41" s="42"/>
      <c r="E41" s="42">
        <f t="shared" si="0"/>
        <v>22266990</v>
      </c>
    </row>
    <row r="42" spans="1:5" ht="15.75">
      <c r="A42" s="55" t="s">
        <v>296</v>
      </c>
      <c r="B42" s="53"/>
      <c r="C42" s="42">
        <f>'5.kiadás'!I511</f>
        <v>300000</v>
      </c>
      <c r="D42" s="42"/>
      <c r="E42" s="42">
        <f t="shared" si="0"/>
        <v>300000</v>
      </c>
    </row>
    <row r="43" spans="1:5" ht="15.75">
      <c r="A43" s="55" t="s">
        <v>297</v>
      </c>
      <c r="B43" s="38"/>
      <c r="C43" s="42">
        <v>0</v>
      </c>
      <c r="D43" s="42"/>
      <c r="E43" s="42">
        <f t="shared" si="0"/>
        <v>0</v>
      </c>
    </row>
    <row r="44" spans="1:5" ht="15.75">
      <c r="A44" s="55" t="s">
        <v>298</v>
      </c>
      <c r="B44" s="38">
        <v>0</v>
      </c>
      <c r="C44" s="42"/>
      <c r="D44" s="42"/>
      <c r="E44" s="42">
        <f t="shared" si="0"/>
        <v>0</v>
      </c>
    </row>
    <row r="45" spans="1:5" ht="15.75">
      <c r="A45" s="55" t="s">
        <v>299</v>
      </c>
      <c r="B45" s="38"/>
      <c r="C45" s="42">
        <v>0</v>
      </c>
      <c r="D45" s="42"/>
      <c r="E45" s="42">
        <f t="shared" si="0"/>
        <v>0</v>
      </c>
    </row>
    <row r="46" spans="1:5" ht="15.75">
      <c r="A46" s="55" t="s">
        <v>279</v>
      </c>
      <c r="B46" s="38"/>
      <c r="C46" s="42"/>
      <c r="D46" s="42"/>
      <c r="E46" s="42">
        <f t="shared" si="0"/>
        <v>0</v>
      </c>
    </row>
    <row r="47" spans="1:5" ht="15.75">
      <c r="A47" s="52" t="s">
        <v>280</v>
      </c>
      <c r="B47" s="38">
        <f>'5.kiadás'!I525</f>
        <v>7242710</v>
      </c>
      <c r="C47" s="42"/>
      <c r="D47" s="42"/>
      <c r="E47" s="42">
        <f t="shared" si="0"/>
        <v>7242710</v>
      </c>
    </row>
    <row r="48" spans="1:5" ht="15.75">
      <c r="A48" s="47" t="s">
        <v>284</v>
      </c>
      <c r="B48" s="53">
        <f>SUM(B11:B47)</f>
        <v>294216458</v>
      </c>
      <c r="C48" s="53">
        <f>SUM(C11:C47)</f>
        <v>220070304</v>
      </c>
      <c r="D48" s="53">
        <f>SUM(D11:D47)</f>
        <v>0</v>
      </c>
      <c r="E48" s="56">
        <f>SUM(B48:D48)</f>
        <v>514286762</v>
      </c>
    </row>
  </sheetData>
  <sheetProtection selectLockedCells="1" selectUnlockedCells="1"/>
  <mergeCells count="11">
    <mergeCell ref="B6:E6"/>
    <mergeCell ref="A7:A10"/>
    <mergeCell ref="B7:B10"/>
    <mergeCell ref="C7:C10"/>
    <mergeCell ref="D7:D10"/>
    <mergeCell ref="E7:E10"/>
    <mergeCell ref="A1:E1"/>
    <mergeCell ref="A2:E2"/>
    <mergeCell ref="A3:E3"/>
    <mergeCell ref="A4:E4"/>
    <mergeCell ref="A5:E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60" zoomScalePageLayoutView="0" workbookViewId="0" topLeftCell="A1">
      <selection activeCell="J29" sqref="J29"/>
    </sheetView>
  </sheetViews>
  <sheetFormatPr defaultColWidth="11.57421875" defaultRowHeight="12.75"/>
  <cols>
    <col min="1" max="1" width="60.421875" style="0" customWidth="1"/>
    <col min="2" max="2" width="18.421875" style="0" customWidth="1"/>
    <col min="3" max="3" width="14.8515625" style="0" customWidth="1"/>
    <col min="4" max="4" width="14.140625" style="0" customWidth="1"/>
    <col min="5" max="5" width="9.140625" style="1" customWidth="1"/>
    <col min="6" max="255" width="9.140625" style="0" customWidth="1"/>
  </cols>
  <sheetData>
    <row r="1" spans="1:5" ht="15.75">
      <c r="A1" s="394" t="s">
        <v>456</v>
      </c>
      <c r="B1" s="394"/>
      <c r="C1" s="394"/>
      <c r="D1" s="394"/>
      <c r="E1" s="394"/>
    </row>
    <row r="2" spans="1:2" ht="15.75">
      <c r="A2" s="331"/>
      <c r="B2" s="331"/>
    </row>
    <row r="3" spans="1:5" ht="15.75">
      <c r="A3" s="339" t="s">
        <v>0</v>
      </c>
      <c r="B3" s="339"/>
      <c r="C3" s="339"/>
      <c r="D3" s="339"/>
      <c r="E3" s="339"/>
    </row>
    <row r="4" spans="1:5" ht="15.75">
      <c r="A4" s="389" t="s">
        <v>475</v>
      </c>
      <c r="B4" s="389"/>
      <c r="C4" s="389"/>
      <c r="D4" s="389"/>
      <c r="E4" s="389"/>
    </row>
    <row r="5" spans="1:5" ht="15.75">
      <c r="A5" s="389" t="s">
        <v>43</v>
      </c>
      <c r="B5" s="389"/>
      <c r="C5" s="389"/>
      <c r="D5" s="389"/>
      <c r="E5" s="389"/>
    </row>
    <row r="6" spans="1:2" ht="16.5" thickBot="1">
      <c r="A6" s="394"/>
      <c r="B6" s="394"/>
    </row>
    <row r="7" spans="1:5" ht="12.75" customHeight="1">
      <c r="A7" s="406" t="s">
        <v>301</v>
      </c>
      <c r="B7" s="405" t="s">
        <v>2</v>
      </c>
      <c r="C7" s="405" t="s">
        <v>391</v>
      </c>
      <c r="D7" s="401" t="s">
        <v>464</v>
      </c>
      <c r="E7" s="403" t="s">
        <v>465</v>
      </c>
    </row>
    <row r="8" spans="1:5" ht="21.75" customHeight="1">
      <c r="A8" s="406"/>
      <c r="B8" s="405"/>
      <c r="C8" s="405"/>
      <c r="D8" s="402"/>
      <c r="E8" s="404"/>
    </row>
    <row r="9" spans="1:2" ht="15.75">
      <c r="A9" s="57" t="s">
        <v>35</v>
      </c>
      <c r="B9" s="58"/>
    </row>
    <row r="10" spans="1:5" ht="15.75">
      <c r="A10" s="58" t="s">
        <v>349</v>
      </c>
      <c r="B10" s="59">
        <f>'5.kiadás'!G198</f>
        <v>2758158</v>
      </c>
      <c r="C10" s="59">
        <f>'5.kiadás'!H198</f>
        <v>2758158</v>
      </c>
      <c r="D10" s="59">
        <f>'5.kiadás'!I198</f>
        <v>2758164</v>
      </c>
      <c r="E10" s="271">
        <f>D10/C10</f>
        <v>1.0000021753648631</v>
      </c>
    </row>
    <row r="11" spans="1:5" ht="15.75">
      <c r="A11" s="58" t="s">
        <v>361</v>
      </c>
      <c r="B11" s="59">
        <f>'5.kiadás'!G199</f>
        <v>3623000</v>
      </c>
      <c r="C11" s="59">
        <f>'5.kiadás'!H199</f>
        <v>3623000</v>
      </c>
      <c r="D11" s="59">
        <f>'5.kiadás'!I199</f>
        <v>3623000</v>
      </c>
      <c r="E11" s="271">
        <f aca="true" t="shared" si="0" ref="E11:E21">D11/C11</f>
        <v>1</v>
      </c>
    </row>
    <row r="12" spans="1:5" ht="15.75">
      <c r="A12" s="58" t="s">
        <v>430</v>
      </c>
      <c r="B12" s="59">
        <f>'5.kiadás'!G264</f>
        <v>0</v>
      </c>
      <c r="C12" s="59">
        <f>'5.kiadás'!H264</f>
        <v>2890000</v>
      </c>
      <c r="D12" s="59">
        <f>'5.kiadás'!I264</f>
        <v>2553075</v>
      </c>
      <c r="E12" s="271">
        <f t="shared" si="0"/>
        <v>0.883416955017301</v>
      </c>
    </row>
    <row r="13" spans="1:5" ht="15.75">
      <c r="A13" s="58" t="s">
        <v>338</v>
      </c>
      <c r="B13" s="59">
        <v>648000</v>
      </c>
      <c r="C13" s="59">
        <v>648000</v>
      </c>
      <c r="D13" s="59">
        <v>648001</v>
      </c>
      <c r="E13" s="271">
        <f t="shared" si="0"/>
        <v>1.0000015432098766</v>
      </c>
    </row>
    <row r="14" spans="1:5" ht="15.75">
      <c r="A14" s="58" t="s">
        <v>431</v>
      </c>
      <c r="B14" s="59">
        <f>'5.kiadás'!G401</f>
        <v>24500000</v>
      </c>
      <c r="C14" s="59">
        <f>'5.kiadás'!H401</f>
        <v>11493544</v>
      </c>
      <c r="D14" s="59">
        <f>'5.kiadás'!I401</f>
        <v>11493544</v>
      </c>
      <c r="E14" s="271">
        <f t="shared" si="0"/>
        <v>1</v>
      </c>
    </row>
    <row r="15" spans="1:5" ht="15.75">
      <c r="A15" s="58" t="s">
        <v>376</v>
      </c>
      <c r="B15" s="59">
        <f>'5.kiadás'!G400</f>
        <v>29000000</v>
      </c>
      <c r="C15" s="59">
        <f>'5.kiadás'!H400</f>
        <v>39100000</v>
      </c>
      <c r="D15" s="59">
        <f>'5.kiadás'!I400</f>
        <v>39029144</v>
      </c>
      <c r="E15" s="271">
        <f t="shared" si="0"/>
        <v>0.9981878260869566</v>
      </c>
    </row>
    <row r="16" spans="1:5" ht="15.75">
      <c r="A16" s="58" t="s">
        <v>387</v>
      </c>
      <c r="B16" s="59">
        <v>236220</v>
      </c>
      <c r="C16" s="59">
        <f>'5.kiadás'!H45+'5.kiadás'!H263</f>
        <v>617006</v>
      </c>
      <c r="D16" s="59">
        <f>'5.kiadás'!I45+'5.kiadás'!I263</f>
        <v>403493</v>
      </c>
      <c r="E16" s="271">
        <f t="shared" si="0"/>
        <v>0.6539531220117795</v>
      </c>
    </row>
    <row r="17" spans="1:5" ht="15.75">
      <c r="A17" s="58" t="s">
        <v>429</v>
      </c>
      <c r="B17" s="59">
        <f>'5.kiadás'!G305</f>
        <v>0</v>
      </c>
      <c r="C17" s="59">
        <f>'5.kiadás'!H305</f>
        <v>1275590</v>
      </c>
      <c r="D17" s="59">
        <f>'5.kiadás'!I305</f>
        <v>1275590</v>
      </c>
      <c r="E17" s="271">
        <f t="shared" si="0"/>
        <v>1</v>
      </c>
    </row>
    <row r="18" spans="1:5" ht="15.75">
      <c r="A18" s="58" t="s">
        <v>439</v>
      </c>
      <c r="B18" s="59"/>
      <c r="C18" s="59">
        <f>'5.kiadás'!H507+'5.kiadás'!H508</f>
        <v>2224972</v>
      </c>
      <c r="D18" s="59">
        <f>'5.kiadás'!I507+'5.kiadás'!I508</f>
        <v>2224972</v>
      </c>
      <c r="E18" s="271">
        <f t="shared" si="0"/>
        <v>1</v>
      </c>
    </row>
    <row r="19" spans="1:5" ht="15.75">
      <c r="A19" s="58" t="s">
        <v>440</v>
      </c>
      <c r="B19" s="59"/>
      <c r="C19" s="59">
        <f>'5.kiadás'!H44</f>
        <v>58000</v>
      </c>
      <c r="D19" s="59">
        <f>'5.kiadás'!I44</f>
        <v>58000</v>
      </c>
      <c r="E19" s="271">
        <f t="shared" si="0"/>
        <v>1</v>
      </c>
    </row>
    <row r="20" spans="1:5" ht="15.75">
      <c r="A20" s="58" t="s">
        <v>302</v>
      </c>
      <c r="B20" s="59">
        <f>SUM(B10:B16)</f>
        <v>60765378</v>
      </c>
      <c r="C20" s="59">
        <f>SUM(C10:C19)</f>
        <v>64688270</v>
      </c>
      <c r="D20" s="59">
        <f>SUM(D10:D19)</f>
        <v>64066983</v>
      </c>
      <c r="E20" s="271">
        <f t="shared" si="0"/>
        <v>0.990395677608939</v>
      </c>
    </row>
    <row r="21" spans="1:5" ht="15.75">
      <c r="A21" s="58" t="s">
        <v>303</v>
      </c>
      <c r="B21" s="59">
        <f>'5.kiadás'!G200+'5.kiadás'!G402+'5.kiadás'!G47</f>
        <v>16231700</v>
      </c>
      <c r="C21" s="59">
        <f>'5.kiadás'!H200+'5.kiadás'!H402+'5.kiadás'!H47+'5.kiadás'!H306+'5.kiadás'!H265+'5.kiadás'!H509</f>
        <v>12811036</v>
      </c>
      <c r="D21" s="59">
        <f>'5.kiadás'!I200+'5.kiadás'!I402+'5.kiadás'!I47+'5.kiadás'!I306+'5.kiadás'!I265+'5.kiadás'!I509</f>
        <v>12645643</v>
      </c>
      <c r="E21" s="271">
        <f t="shared" si="0"/>
        <v>0.9870898028855746</v>
      </c>
    </row>
    <row r="22" spans="1:5" ht="15.75">
      <c r="A22" s="60" t="s">
        <v>304</v>
      </c>
      <c r="B22" s="61">
        <f>SUM(B20:B21)</f>
        <v>76997078</v>
      </c>
      <c r="C22" s="61">
        <f>SUM(C20:C21)</f>
        <v>77499306</v>
      </c>
      <c r="D22" s="61">
        <f>SUM(D20:D21)</f>
        <v>76712626</v>
      </c>
      <c r="E22" s="272">
        <f>D22/C22</f>
        <v>0.9898491994237987</v>
      </c>
    </row>
    <row r="23" spans="1:2" ht="15.75">
      <c r="A23" s="58"/>
      <c r="B23" s="59"/>
    </row>
    <row r="24" spans="1:5" ht="15.75">
      <c r="A24" s="62" t="s">
        <v>305</v>
      </c>
      <c r="B24" s="63">
        <f>B20+B21</f>
        <v>76997078</v>
      </c>
      <c r="C24" s="63">
        <f>C20+C21</f>
        <v>77499306</v>
      </c>
      <c r="D24" s="63">
        <f>D20+D21</f>
        <v>76712626</v>
      </c>
      <c r="E24" s="273">
        <f>D24/C24</f>
        <v>0.9898491994237987</v>
      </c>
    </row>
    <row r="25" spans="1:2" ht="15.75">
      <c r="A25" s="58"/>
      <c r="B25" s="59"/>
    </row>
    <row r="26" spans="1:2" ht="15.75">
      <c r="A26" s="57" t="s">
        <v>37</v>
      </c>
      <c r="B26" s="59"/>
    </row>
    <row r="27" spans="1:5" ht="15.75">
      <c r="A27" s="58" t="s">
        <v>348</v>
      </c>
      <c r="B27" s="59">
        <f>'5.kiadás'!G338</f>
        <v>14373963</v>
      </c>
      <c r="C27" s="59">
        <f>'5.kiadás'!H338</f>
        <v>14672365</v>
      </c>
      <c r="D27" s="59">
        <f>'5.kiadás'!I338</f>
        <v>14672365</v>
      </c>
      <c r="E27" s="271">
        <f aca="true" t="shared" si="1" ref="E27:E35">D27/C27</f>
        <v>1</v>
      </c>
    </row>
    <row r="28" spans="1:5" ht="31.5">
      <c r="A28" s="157" t="s">
        <v>389</v>
      </c>
      <c r="B28" s="59">
        <f>'5.kiadás'!G404</f>
        <v>32271000</v>
      </c>
      <c r="C28" s="59">
        <f>'5.kiadás'!H404</f>
        <v>40100000</v>
      </c>
      <c r="D28" s="59">
        <f>'5.kiadás'!I404</f>
        <v>39971314</v>
      </c>
      <c r="E28" s="271">
        <f t="shared" si="1"/>
        <v>0.9967908728179551</v>
      </c>
    </row>
    <row r="29" spans="1:5" ht="31.5">
      <c r="A29" s="156" t="s">
        <v>457</v>
      </c>
      <c r="B29" s="59">
        <f>'5.kiadás'!G267</f>
        <v>1629920</v>
      </c>
      <c r="C29" s="59">
        <f>'5.kiadás'!H267+'5.kiadás'!H49</f>
        <v>1365700</v>
      </c>
      <c r="D29" s="59">
        <f>'5.kiadás'!I267+'5.kiadás'!I49</f>
        <v>1314700</v>
      </c>
      <c r="E29" s="271">
        <f t="shared" si="1"/>
        <v>0.9626565131434429</v>
      </c>
    </row>
    <row r="30" spans="1:5" ht="15.75">
      <c r="A30" s="156" t="s">
        <v>459</v>
      </c>
      <c r="B30" s="59"/>
      <c r="C30" s="59">
        <f>'5.kiadás'!H361</f>
        <v>802428</v>
      </c>
      <c r="D30" s="59">
        <f>'5.kiadás'!I361</f>
        <v>802428</v>
      </c>
      <c r="E30" s="271">
        <f t="shared" si="1"/>
        <v>1</v>
      </c>
    </row>
    <row r="31" spans="1:5" ht="15.75">
      <c r="A31" s="58" t="s">
        <v>432</v>
      </c>
      <c r="B31" s="59">
        <f>'5.kiadás'!G150</f>
        <v>11811000</v>
      </c>
      <c r="C31" s="59">
        <f>'5.kiadás'!H202</f>
        <v>6888256</v>
      </c>
      <c r="D31" s="59">
        <f>'5.kiadás'!I202</f>
        <v>6883540</v>
      </c>
      <c r="E31" s="271">
        <f t="shared" si="1"/>
        <v>0.9993153564559738</v>
      </c>
    </row>
    <row r="32" spans="1:5" ht="15.75">
      <c r="A32" s="58" t="s">
        <v>388</v>
      </c>
      <c r="B32" s="59">
        <f>'5.kiadás'!G138</f>
        <v>7861984</v>
      </c>
      <c r="C32" s="59">
        <f>'5.kiadás'!H138</f>
        <v>8473000</v>
      </c>
      <c r="D32" s="59">
        <f>'5.kiadás'!I138</f>
        <v>8473000</v>
      </c>
      <c r="E32" s="271">
        <f t="shared" si="1"/>
        <v>1</v>
      </c>
    </row>
    <row r="33" spans="1:5" ht="15.75">
      <c r="A33" s="58" t="s">
        <v>402</v>
      </c>
      <c r="B33" s="59">
        <f>'5.kiadás'!G110</f>
        <v>11811000</v>
      </c>
      <c r="C33" s="59">
        <f>'5.kiadás'!H110</f>
        <v>12947024</v>
      </c>
      <c r="D33" s="59">
        <f>'5.kiadás'!I110</f>
        <v>12947024</v>
      </c>
      <c r="E33" s="271">
        <f t="shared" si="1"/>
        <v>1</v>
      </c>
    </row>
    <row r="34" spans="1:5" ht="15.75">
      <c r="A34" s="58" t="s">
        <v>306</v>
      </c>
      <c r="B34" s="59">
        <f>SUM(B27:B33)</f>
        <v>79758867</v>
      </c>
      <c r="C34" s="59">
        <f>SUM(C27:C33)</f>
        <v>85248773</v>
      </c>
      <c r="D34" s="59">
        <f>SUM(D27:D33)</f>
        <v>85064371</v>
      </c>
      <c r="E34" s="271">
        <f t="shared" si="1"/>
        <v>0.9978368955527371</v>
      </c>
    </row>
    <row r="35" spans="1:5" ht="15.75">
      <c r="A35" s="58" t="s">
        <v>307</v>
      </c>
      <c r="B35" s="59">
        <f>'5.kiadás'!G111+'5.kiadás'!G151+'5.kiadás'!G268+'5.kiadás'!G339+'5.kiadás'!G405+'5.kiadás'!G139</f>
        <v>21535042</v>
      </c>
      <c r="C35" s="59">
        <f>'5.kiadás'!H111+'5.kiadás'!H151+'5.kiadás'!H268+'5.kiadás'!H339+'5.kiadás'!H405+'5.kiadás'!H139+'5.kiadás'!H203+'5.kiadás'!H50</f>
        <v>22508641</v>
      </c>
      <c r="D35" s="59">
        <f>'5.kiadás'!I111+'5.kiadás'!I151+'5.kiadás'!I268+'5.kiadás'!I339+'5.kiadás'!I405+'5.kiadás'!I139+'5.kiadás'!I203+'5.kiadás'!I50</f>
        <v>22386224</v>
      </c>
      <c r="E35" s="271">
        <f t="shared" si="1"/>
        <v>0.9945613331342394</v>
      </c>
    </row>
    <row r="36" spans="1:5" ht="15.75">
      <c r="A36" s="62" t="s">
        <v>308</v>
      </c>
      <c r="B36" s="63">
        <f>SUM(B34:B35)</f>
        <v>101293909</v>
      </c>
      <c r="C36" s="63">
        <f>SUM(C34:C35)</f>
        <v>107757414</v>
      </c>
      <c r="D36" s="63">
        <f>SUM(D34:D35)</f>
        <v>107450595</v>
      </c>
      <c r="E36" s="273">
        <f>D36/C36</f>
        <v>0.9971526877955702</v>
      </c>
    </row>
    <row r="37" spans="1:5" ht="15.75">
      <c r="A37" s="58"/>
      <c r="B37" s="59"/>
      <c r="E37" s="77"/>
    </row>
    <row r="38" spans="1:5" ht="15.75">
      <c r="A38" s="62" t="s">
        <v>309</v>
      </c>
      <c r="B38" s="63">
        <f>B24+B36</f>
        <v>178290987</v>
      </c>
      <c r="C38" s="63">
        <f>C24+C36</f>
        <v>185256720</v>
      </c>
      <c r="D38" s="63">
        <f>D24+D36</f>
        <v>184163221</v>
      </c>
      <c r="E38" s="273">
        <f>D38/C38</f>
        <v>0.9940973855091464</v>
      </c>
    </row>
    <row r="39" spans="1:5" ht="15.75">
      <c r="A39" s="64" t="s">
        <v>310</v>
      </c>
      <c r="B39" s="155">
        <f>B22+B36</f>
        <v>178290987</v>
      </c>
      <c r="C39" s="155">
        <f>C22+C36</f>
        <v>185256720</v>
      </c>
      <c r="D39" s="155">
        <f>D22+D36</f>
        <v>184163221</v>
      </c>
      <c r="E39" s="272">
        <f>D39/C39</f>
        <v>0.9940973855091464</v>
      </c>
    </row>
  </sheetData>
  <sheetProtection selectLockedCells="1" selectUnlockedCells="1"/>
  <mergeCells count="11">
    <mergeCell ref="B7:B8"/>
    <mergeCell ref="A2:B2"/>
    <mergeCell ref="D7:D8"/>
    <mergeCell ref="E7:E8"/>
    <mergeCell ref="A1:E1"/>
    <mergeCell ref="A3:E3"/>
    <mergeCell ref="A4:E4"/>
    <mergeCell ref="A5:E5"/>
    <mergeCell ref="C7:C8"/>
    <mergeCell ref="A6:B6"/>
    <mergeCell ref="A7:A8"/>
  </mergeCells>
  <printOptions/>
  <pageMargins left="0.7" right="0.7" top="0.75" bottom="0.75" header="0.5118055555555555" footer="0.5118055555555555"/>
  <pageSetup horizontalDpi="300" verticalDpi="3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7"/>
  <sheetViews>
    <sheetView view="pageBreakPreview" zoomScale="60" zoomScalePageLayoutView="0" workbookViewId="0" topLeftCell="A1">
      <selection activeCell="E9" sqref="E9"/>
    </sheetView>
  </sheetViews>
  <sheetFormatPr defaultColWidth="9.140625" defaultRowHeight="12.75"/>
  <cols>
    <col min="1" max="1" width="4.57421875" style="1" customWidth="1"/>
    <col min="2" max="2" width="34.28125" style="1" customWidth="1"/>
    <col min="3" max="3" width="13.7109375" style="1" customWidth="1"/>
    <col min="4" max="4" width="13.57421875" style="1" customWidth="1"/>
    <col min="5" max="5" width="15.421875" style="1" customWidth="1"/>
    <col min="6" max="253" width="9.140625" style="1" customWidth="1"/>
  </cols>
  <sheetData>
    <row r="1" spans="1:5" ht="15.75">
      <c r="A1" s="412" t="s">
        <v>460</v>
      </c>
      <c r="B1" s="412"/>
      <c r="C1" s="412"/>
      <c r="D1" s="412"/>
      <c r="E1" s="412"/>
    </row>
    <row r="2" spans="1:4" ht="15.75">
      <c r="A2" s="334"/>
      <c r="B2" s="334"/>
      <c r="C2" s="334"/>
      <c r="D2" s="334"/>
    </row>
    <row r="3" spans="1:5" ht="15.75">
      <c r="A3" s="413" t="s">
        <v>0</v>
      </c>
      <c r="B3" s="413"/>
      <c r="C3" s="413"/>
      <c r="D3" s="413"/>
      <c r="E3" s="413"/>
    </row>
    <row r="4" spans="1:5" ht="15.75">
      <c r="A4" s="414" t="s">
        <v>311</v>
      </c>
      <c r="B4" s="414"/>
      <c r="C4" s="414"/>
      <c r="D4" s="414"/>
      <c r="E4" s="414"/>
    </row>
    <row r="5" spans="2:4" ht="15.75">
      <c r="B5" s="414"/>
      <c r="C5" s="414"/>
      <c r="D5" s="414"/>
    </row>
    <row r="6" spans="2:4" ht="15.75">
      <c r="B6" s="67"/>
      <c r="C6" s="66"/>
      <c r="D6" s="66" t="s">
        <v>300</v>
      </c>
    </row>
    <row r="7" spans="1:253" ht="15.75" customHeight="1">
      <c r="A7" s="407" t="s">
        <v>1</v>
      </c>
      <c r="B7" s="407"/>
      <c r="C7" s="408" t="s">
        <v>350</v>
      </c>
      <c r="D7" s="409" t="s">
        <v>351</v>
      </c>
      <c r="E7" s="410" t="s">
        <v>476</v>
      </c>
      <c r="IS7"/>
    </row>
    <row r="8" spans="1:253" ht="15.75">
      <c r="A8" s="407"/>
      <c r="B8" s="407"/>
      <c r="C8" s="408"/>
      <c r="D8" s="409"/>
      <c r="E8" s="411" t="s">
        <v>312</v>
      </c>
      <c r="IS8"/>
    </row>
    <row r="9" spans="1:253" ht="15.75">
      <c r="A9" s="57" t="s">
        <v>4</v>
      </c>
      <c r="B9" s="58" t="s">
        <v>313</v>
      </c>
      <c r="C9" s="134">
        <v>142508052</v>
      </c>
      <c r="D9" s="134">
        <v>132815242</v>
      </c>
      <c r="E9" s="143">
        <f>'1.Mérleg'!E10</f>
        <v>121423656</v>
      </c>
      <c r="IS9"/>
    </row>
    <row r="10" spans="1:253" ht="15.75">
      <c r="A10" s="57" t="s">
        <v>6</v>
      </c>
      <c r="B10" s="58" t="s">
        <v>7</v>
      </c>
      <c r="C10" s="134">
        <v>135467272</v>
      </c>
      <c r="D10" s="134">
        <v>155322687</v>
      </c>
      <c r="E10" s="143">
        <f>'1.Mérleg'!E11</f>
        <v>105066920</v>
      </c>
      <c r="IS10"/>
    </row>
    <row r="11" spans="1:253" ht="15.75">
      <c r="A11" s="57" t="s">
        <v>8</v>
      </c>
      <c r="B11" s="58" t="s">
        <v>9</v>
      </c>
      <c r="C11" s="134">
        <v>164486176</v>
      </c>
      <c r="D11" s="134">
        <v>142101998</v>
      </c>
      <c r="E11" s="143">
        <f>'1.Mérleg'!E12</f>
        <v>168858675</v>
      </c>
      <c r="IS11"/>
    </row>
    <row r="12" spans="1:253" ht="15.75">
      <c r="A12" s="57" t="s">
        <v>10</v>
      </c>
      <c r="B12" s="58" t="s">
        <v>11</v>
      </c>
      <c r="C12" s="79">
        <v>1354710</v>
      </c>
      <c r="D12" s="79">
        <v>640717</v>
      </c>
      <c r="E12" s="143">
        <f>'1.Mérleg'!E13</f>
        <v>1625125</v>
      </c>
      <c r="IS12"/>
    </row>
    <row r="13" spans="1:253" ht="15.75">
      <c r="A13" s="58"/>
      <c r="B13" s="57" t="s">
        <v>314</v>
      </c>
      <c r="C13" s="137">
        <f>SUM(C9:C12)</f>
        <v>443816210</v>
      </c>
      <c r="D13" s="138">
        <f>SUM(D9:D12)</f>
        <v>430880644</v>
      </c>
      <c r="E13" s="135">
        <f>SUM(E9:E12)</f>
        <v>396974376</v>
      </c>
      <c r="IS13"/>
    </row>
    <row r="14" spans="1:253" ht="15.75">
      <c r="A14" s="25"/>
      <c r="B14" s="25"/>
      <c r="C14" s="25"/>
      <c r="D14" s="25"/>
      <c r="E14" s="25"/>
      <c r="IS14"/>
    </row>
    <row r="15" spans="1:253" ht="15.75">
      <c r="A15" s="25"/>
      <c r="B15" s="25"/>
      <c r="C15" s="25"/>
      <c r="D15" s="25"/>
      <c r="E15" s="25"/>
      <c r="IS15"/>
    </row>
    <row r="16" spans="1:253" ht="15.75">
      <c r="A16" s="57" t="s">
        <v>23</v>
      </c>
      <c r="B16" s="37" t="s">
        <v>158</v>
      </c>
      <c r="C16" s="139">
        <v>86458338</v>
      </c>
      <c r="D16" s="139">
        <v>94323829</v>
      </c>
      <c r="E16" s="144">
        <f>'1.Mérleg'!E27</f>
        <v>103513680</v>
      </c>
      <c r="IS16"/>
    </row>
    <row r="17" spans="1:253" ht="15.75">
      <c r="A17" s="57" t="s">
        <v>25</v>
      </c>
      <c r="B17" s="37" t="s">
        <v>315</v>
      </c>
      <c r="C17" s="79">
        <v>16413929</v>
      </c>
      <c r="D17" s="79">
        <v>17849626</v>
      </c>
      <c r="E17" s="144">
        <f>'1.Mérleg'!E28</f>
        <v>17160783</v>
      </c>
      <c r="IS17"/>
    </row>
    <row r="18" spans="1:253" ht="15.75">
      <c r="A18" s="57" t="s">
        <v>27</v>
      </c>
      <c r="B18" s="37" t="s">
        <v>28</v>
      </c>
      <c r="C18" s="79">
        <v>183291982</v>
      </c>
      <c r="D18" s="79">
        <v>150764875</v>
      </c>
      <c r="E18" s="144">
        <f>'1.Mérleg'!E29</f>
        <v>112176163</v>
      </c>
      <c r="IS18"/>
    </row>
    <row r="19" spans="1:253" ht="15.75">
      <c r="A19" s="69" t="s">
        <v>29</v>
      </c>
      <c r="B19" s="37" t="s">
        <v>278</v>
      </c>
      <c r="C19" s="79">
        <v>4931200</v>
      </c>
      <c r="D19" s="79">
        <v>4213100</v>
      </c>
      <c r="E19" s="144">
        <f>'1.Mérleg'!E30</f>
        <v>5243200</v>
      </c>
      <c r="IS19"/>
    </row>
    <row r="20" spans="1:253" ht="15.75">
      <c r="A20" s="69" t="s">
        <v>31</v>
      </c>
      <c r="B20" s="37" t="s">
        <v>32</v>
      </c>
      <c r="C20" s="79">
        <v>90373336</v>
      </c>
      <c r="D20" s="79">
        <v>91606903</v>
      </c>
      <c r="E20" s="144">
        <f>'1.Mérleg'!E31</f>
        <v>83557126</v>
      </c>
      <c r="IS20"/>
    </row>
    <row r="21" spans="1:253" ht="15.75">
      <c r="A21" s="57"/>
      <c r="B21" s="70" t="s">
        <v>316</v>
      </c>
      <c r="C21" s="68">
        <f>SUM(C16:C20)</f>
        <v>381468785</v>
      </c>
      <c r="D21" s="80">
        <f>SUM(D16:D20)</f>
        <v>358758333</v>
      </c>
      <c r="E21" s="82">
        <f>SUM(E16:E20)</f>
        <v>321650952</v>
      </c>
      <c r="IS21"/>
    </row>
    <row r="22" spans="1:253" ht="15.75">
      <c r="A22" s="71"/>
      <c r="B22" s="25"/>
      <c r="C22" s="25"/>
      <c r="D22" s="25"/>
      <c r="E22" s="136"/>
      <c r="IS22"/>
    </row>
    <row r="23" spans="1:253" ht="15.75">
      <c r="A23" s="72" t="s">
        <v>20</v>
      </c>
      <c r="B23" s="73" t="s">
        <v>19</v>
      </c>
      <c r="C23" s="79">
        <v>227618649</v>
      </c>
      <c r="D23" s="79">
        <v>209125604</v>
      </c>
      <c r="E23" s="144">
        <f>'1.Mérleg'!E21</f>
        <v>107603332</v>
      </c>
      <c r="IS23"/>
    </row>
    <row r="24" spans="1:253" ht="15.75">
      <c r="A24" s="74"/>
      <c r="B24" s="75" t="s">
        <v>317</v>
      </c>
      <c r="C24" s="68">
        <f>SUM(C23)</f>
        <v>227618649</v>
      </c>
      <c r="D24" s="80">
        <f>SUM(D23)</f>
        <v>209125604</v>
      </c>
      <c r="E24" s="82">
        <f>SUM(E23)</f>
        <v>107603332</v>
      </c>
      <c r="IS24"/>
    </row>
    <row r="25" spans="5:253" ht="15.75">
      <c r="E25" s="136"/>
      <c r="IS25"/>
    </row>
    <row r="26" spans="1:253" ht="15.75">
      <c r="A26" s="76" t="s">
        <v>41</v>
      </c>
      <c r="B26" s="58" t="s">
        <v>40</v>
      </c>
      <c r="C26" s="79">
        <v>8548231</v>
      </c>
      <c r="D26" s="79">
        <v>5762819</v>
      </c>
      <c r="E26" s="144">
        <f>'1.Mérleg'!E39</f>
        <v>7322450</v>
      </c>
      <c r="IS26"/>
    </row>
    <row r="27" spans="1:253" ht="15.75">
      <c r="A27" s="58"/>
      <c r="B27" s="57" t="s">
        <v>318</v>
      </c>
      <c r="C27" s="68">
        <f>SUM(C26)</f>
        <v>8548231</v>
      </c>
      <c r="D27" s="80">
        <f>SUM(D26)</f>
        <v>5762819</v>
      </c>
      <c r="E27" s="82">
        <f>SUM(E26)</f>
        <v>7322450</v>
      </c>
      <c r="IS27"/>
    </row>
  </sheetData>
  <sheetProtection selectLockedCells="1" selectUnlockedCells="1"/>
  <mergeCells count="9">
    <mergeCell ref="A7:B8"/>
    <mergeCell ref="C7:C8"/>
    <mergeCell ref="D7:D8"/>
    <mergeCell ref="E7:E8"/>
    <mergeCell ref="A1:E1"/>
    <mergeCell ref="A3:E3"/>
    <mergeCell ref="A4:E4"/>
    <mergeCell ref="A2:D2"/>
    <mergeCell ref="B5:D5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3"/>
  <sheetViews>
    <sheetView view="pageBreakPreview" zoomScale="60" zoomScalePageLayoutView="0" workbookViewId="0" topLeftCell="A1">
      <selection activeCell="E18" sqref="E18"/>
    </sheetView>
  </sheetViews>
  <sheetFormatPr defaultColWidth="9.140625" defaultRowHeight="12.75"/>
  <cols>
    <col min="1" max="1" width="4.28125" style="1" customWidth="1"/>
    <col min="2" max="2" width="39.7109375" style="1" customWidth="1"/>
    <col min="3" max="3" width="13.57421875" style="1" customWidth="1"/>
    <col min="4" max="4" width="14.57421875" style="1" customWidth="1"/>
    <col min="5" max="5" width="14.00390625" style="1" customWidth="1"/>
    <col min="6" max="253" width="9.140625" style="1" customWidth="1"/>
  </cols>
  <sheetData>
    <row r="1" spans="1:5" ht="15.75" customHeight="1">
      <c r="A1" s="412" t="s">
        <v>461</v>
      </c>
      <c r="B1" s="412"/>
      <c r="C1" s="412"/>
      <c r="D1" s="412"/>
      <c r="E1" s="412"/>
    </row>
    <row r="2" spans="1:4" ht="15.75" customHeight="1">
      <c r="A2" s="419"/>
      <c r="B2" s="419"/>
      <c r="C2" s="419"/>
      <c r="D2" s="419"/>
    </row>
    <row r="3" spans="1:5" ht="15.75" customHeight="1">
      <c r="A3" s="413" t="s">
        <v>0</v>
      </c>
      <c r="B3" s="413"/>
      <c r="C3" s="413"/>
      <c r="D3" s="413"/>
      <c r="E3" s="413"/>
    </row>
    <row r="4" spans="1:5" ht="15.75" customHeight="1">
      <c r="A4" s="414" t="s">
        <v>319</v>
      </c>
      <c r="B4" s="414"/>
      <c r="C4" s="414"/>
      <c r="D4" s="414"/>
      <c r="E4" s="414"/>
    </row>
    <row r="5" spans="2:4" ht="15.75" customHeight="1">
      <c r="B5" s="414"/>
      <c r="C5" s="414"/>
      <c r="D5" s="414"/>
    </row>
    <row r="6" spans="2:4" ht="15.75" customHeight="1">
      <c r="B6" s="67"/>
      <c r="C6" s="65"/>
      <c r="D6" s="65"/>
    </row>
    <row r="7" spans="1:253" ht="15.75" customHeight="1">
      <c r="A7" s="415" t="s">
        <v>1</v>
      </c>
      <c r="B7" s="415"/>
      <c r="C7" s="416" t="s">
        <v>344</v>
      </c>
      <c r="D7" s="417" t="s">
        <v>345</v>
      </c>
      <c r="E7" s="418" t="s">
        <v>477</v>
      </c>
      <c r="IS7"/>
    </row>
    <row r="8" spans="1:253" ht="15.75" customHeight="1">
      <c r="A8" s="415"/>
      <c r="B8" s="415"/>
      <c r="C8" s="416"/>
      <c r="D8" s="417"/>
      <c r="E8" s="418"/>
      <c r="IS8"/>
    </row>
    <row r="9" spans="1:253" ht="15.75" customHeight="1">
      <c r="A9" s="57" t="s">
        <v>13</v>
      </c>
      <c r="B9" s="58" t="s">
        <v>320</v>
      </c>
      <c r="C9" s="79">
        <v>13617356</v>
      </c>
      <c r="D9" s="79">
        <v>51456743</v>
      </c>
      <c r="E9" s="145">
        <f>'1.Mérleg'!E16</f>
        <v>41374828</v>
      </c>
      <c r="IS9"/>
    </row>
    <row r="10" spans="1:253" ht="15.75" customHeight="1">
      <c r="A10" s="57" t="s">
        <v>15</v>
      </c>
      <c r="B10" s="58" t="s">
        <v>16</v>
      </c>
      <c r="C10" s="79">
        <v>8996529</v>
      </c>
      <c r="D10" s="79">
        <v>598146</v>
      </c>
      <c r="E10" s="145">
        <f>'1.Mérleg'!E17</f>
        <v>598140</v>
      </c>
      <c r="IS10"/>
    </row>
    <row r="11" spans="1:253" ht="15.75" customHeight="1">
      <c r="A11" s="57" t="s">
        <v>17</v>
      </c>
      <c r="B11" s="58" t="s">
        <v>18</v>
      </c>
      <c r="C11" s="79">
        <v>13913382</v>
      </c>
      <c r="D11" s="79">
        <v>842624</v>
      </c>
      <c r="E11" s="145">
        <f>'1.Mérleg'!E18</f>
        <v>143326250</v>
      </c>
      <c r="IS11"/>
    </row>
    <row r="12" spans="1:253" ht="15.75" customHeight="1">
      <c r="A12" s="140"/>
      <c r="B12" s="140" t="s">
        <v>321</v>
      </c>
      <c r="C12" s="137">
        <f>SUM(C9:C11)</f>
        <v>36527267</v>
      </c>
      <c r="D12" s="138">
        <f>SUM(D9:D11)</f>
        <v>52897513</v>
      </c>
      <c r="E12" s="82">
        <f>SUM(E9:E11)</f>
        <v>185299218</v>
      </c>
      <c r="IS12"/>
    </row>
    <row r="13" spans="1:253" ht="15.75" customHeight="1">
      <c r="A13" s="77"/>
      <c r="IS13"/>
    </row>
    <row r="14" spans="1:253" ht="15.75" customHeight="1">
      <c r="A14" s="77"/>
      <c r="IS14"/>
    </row>
    <row r="15" spans="1:253" ht="15.75" customHeight="1">
      <c r="A15" s="57" t="s">
        <v>34</v>
      </c>
      <c r="B15" s="37" t="s">
        <v>35</v>
      </c>
      <c r="C15" s="79">
        <v>155451917</v>
      </c>
      <c r="D15" s="79">
        <v>49315836</v>
      </c>
      <c r="E15" s="144">
        <f>'1.Mérleg'!E34</f>
        <v>76712625</v>
      </c>
      <c r="IS15"/>
    </row>
    <row r="16" spans="1:253" ht="15.75" customHeight="1">
      <c r="A16" s="57" t="s">
        <v>36</v>
      </c>
      <c r="B16" s="37" t="s">
        <v>37</v>
      </c>
      <c r="C16" s="79">
        <v>19544048</v>
      </c>
      <c r="D16" s="79">
        <v>55757418</v>
      </c>
      <c r="E16" s="144">
        <f>'1.Mérleg'!E35</f>
        <v>107450595</v>
      </c>
      <c r="IS16"/>
    </row>
    <row r="17" spans="1:253" ht="15.75" customHeight="1">
      <c r="A17" s="57" t="s">
        <v>38</v>
      </c>
      <c r="B17" s="37" t="s">
        <v>39</v>
      </c>
      <c r="C17" s="79">
        <v>264454</v>
      </c>
      <c r="D17" s="79">
        <v>0</v>
      </c>
      <c r="E17" s="144">
        <f>'1.Mérleg'!E36</f>
        <v>1150140</v>
      </c>
      <c r="IS17"/>
    </row>
    <row r="18" spans="1:253" ht="15.75" customHeight="1">
      <c r="A18" s="58"/>
      <c r="B18" s="57" t="s">
        <v>322</v>
      </c>
      <c r="C18" s="68">
        <f>SUM(C15:C17)</f>
        <v>175260419</v>
      </c>
      <c r="D18" s="80">
        <f>SUM(D15:D17)</f>
        <v>105073254</v>
      </c>
      <c r="E18" s="82">
        <f>SUM(E15:E17)</f>
        <v>185313360</v>
      </c>
      <c r="IS18"/>
    </row>
    <row r="19" ht="15.75" customHeight="1">
      <c r="IS19"/>
    </row>
    <row r="20" spans="2:253" ht="15.75" customHeight="1">
      <c r="B20" s="77"/>
      <c r="IS20"/>
    </row>
    <row r="21" spans="1:253" ht="15.75" customHeight="1">
      <c r="A21" s="57"/>
      <c r="B21" s="57" t="s">
        <v>119</v>
      </c>
      <c r="C21" s="68">
        <f>'8.Tájékoztató műk'!C13+'9.Tájékoztató felhalm.'!C12+'8.Tájékoztató műk'!C24</f>
        <v>707962126</v>
      </c>
      <c r="D21" s="68">
        <f>'8.Tájékoztató műk'!D13+'9.Tájékoztató felhalm.'!D12+'8.Tájékoztató műk'!D24</f>
        <v>692903761</v>
      </c>
      <c r="E21" s="68">
        <f>'8.Tájékoztató műk'!E13+'9.Tájékoztató felhalm.'!E12+'8.Tájékoztató műk'!E24</f>
        <v>689876926</v>
      </c>
      <c r="IS21"/>
    </row>
    <row r="22" spans="1:253" ht="15.75" customHeight="1">
      <c r="A22" s="77"/>
      <c r="B22" s="77"/>
      <c r="C22" s="78"/>
      <c r="D22" s="78"/>
      <c r="IS22"/>
    </row>
    <row r="23" spans="1:253" ht="15.75" customHeight="1">
      <c r="A23" s="57"/>
      <c r="B23" s="57" t="s">
        <v>284</v>
      </c>
      <c r="C23" s="68">
        <f>C18+'8.Tájékoztató műk'!C21+'8.Tájékoztató műk'!C27</f>
        <v>565277435</v>
      </c>
      <c r="D23" s="68">
        <f>D18+'8.Tájékoztató műk'!D21+'8.Tájékoztató műk'!D27</f>
        <v>469594406</v>
      </c>
      <c r="E23" s="68">
        <f>E18+'8.Tájékoztató műk'!E21+'8.Tájékoztató műk'!E27</f>
        <v>514286762</v>
      </c>
      <c r="IS23"/>
    </row>
  </sheetData>
  <sheetProtection selectLockedCells="1" selectUnlockedCells="1"/>
  <mergeCells count="9">
    <mergeCell ref="A7:B8"/>
    <mergeCell ref="C7:C8"/>
    <mergeCell ref="D7:D8"/>
    <mergeCell ref="E7:E8"/>
    <mergeCell ref="A1:E1"/>
    <mergeCell ref="A3:E3"/>
    <mergeCell ref="A4:E4"/>
    <mergeCell ref="A2:D2"/>
    <mergeCell ref="B5:D5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FritsSzilvi</cp:lastModifiedBy>
  <cp:lastPrinted>2021-05-19T13:05:39Z</cp:lastPrinted>
  <dcterms:created xsi:type="dcterms:W3CDTF">2018-02-05T07:13:48Z</dcterms:created>
  <dcterms:modified xsi:type="dcterms:W3CDTF">2021-05-25T13:06:02Z</dcterms:modified>
  <cp:category/>
  <cp:version/>
  <cp:contentType/>
  <cp:contentStatus/>
</cp:coreProperties>
</file>