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62" firstSheet="6" activeTab="12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i kiadások" sheetId="7" r:id="rId7"/>
    <sheet name="8.Tájékoztató műk" sheetId="8" r:id="rId8"/>
    <sheet name="9.Tájékoztató felhalm." sheetId="9" r:id="rId9"/>
    <sheet name="10. Vagyongazdálkodás" sheetId="10" r:id="rId10"/>
    <sheet name="11. Pénzmaradvány" sheetId="11" r:id="rId11"/>
    <sheet name="12. Eredménykimutatás" sheetId="12" r:id="rId12"/>
    <sheet name="13. Személyi juttatások" sheetId="13" r:id="rId13"/>
    <sheet name="14. Kimutatás immateriális java" sheetId="14" r:id="rId14"/>
  </sheets>
  <definedNames>
    <definedName name="Excel_BuiltIn_Print_Area_1_1">#REF!</definedName>
    <definedName name="Excel_BuiltIn_Print_Area_2_1">#REF!</definedName>
    <definedName name="Excel_BuiltIn_Print_Area_3_1">'5.kiadás'!$A$3:$E$308</definedName>
    <definedName name="_xlnm.Print_Titles" localSheetId="1">'2. Bevétel funkció'!$1:$5</definedName>
    <definedName name="_xlnm.Print_Titles" localSheetId="2">'3.Bevétel jogcím'!$1:$5</definedName>
    <definedName name="_xlnm.Print_Titles" localSheetId="4">'5.kiadás'!$1:$5</definedName>
    <definedName name="_xlnm.Print_Area" localSheetId="9">'10. Vagyongazdálkodás'!$A$1:$C$71</definedName>
    <definedName name="_xlnm.Print_Area" localSheetId="10">'11. Pénzmaradvány'!$A$1:$B$18</definedName>
    <definedName name="_xlnm.Print_Area" localSheetId="11">'12. Eredménykimutatás'!$A$1:$C$34</definedName>
    <definedName name="_xlnm.Print_Area" localSheetId="1">'2. Bevétel funkció'!$A$1:$I$144</definedName>
    <definedName name="_xlnm.Print_Area" localSheetId="2">'3.Bevétel jogcím'!$A$1:$J$84</definedName>
    <definedName name="_xlnm.Print_Area" localSheetId="4">'5.kiadás'!$A$1:$J$590</definedName>
  </definedNames>
  <calcPr fullCalcOnLoad="1"/>
</workbook>
</file>

<file path=xl/sharedStrings.xml><?xml version="1.0" encoding="utf-8"?>
<sst xmlns="http://schemas.openxmlformats.org/spreadsheetml/2006/main" count="1753" uniqueCount="669">
  <si>
    <t>RÉVFÜLÖP NAGYKÖZSÉG ÖNKORMÁNYZATA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</si>
  <si>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</si>
  <si>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</si>
  <si>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</si>
  <si>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</si>
  <si>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</si>
  <si>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</si>
  <si>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</si>
  <si>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</si>
  <si>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</si>
  <si>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</si>
  <si>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</si>
  <si>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</si>
  <si>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</si>
  <si>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</si>
  <si>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</si>
  <si>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</si>
  <si>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</si>
  <si>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</si>
  <si>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</si>
  <si>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</si>
  <si>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</si>
  <si>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</si>
  <si>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</si>
  <si>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</si>
  <si>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</si>
  <si>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</si>
  <si>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</si>
  <si>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</si>
  <si>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</si>
  <si>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</si>
  <si>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</si>
  <si>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</si>
  <si>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</si>
  <si>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</si>
  <si>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</si>
  <si>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</si>
  <si>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</si>
  <si>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</si>
  <si>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</si>
  <si>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</si>
  <si>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</si>
  <si>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</si>
  <si>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előirányzatonként</t>
  </si>
  <si>
    <t>Kiemelt előirányzatok</t>
  </si>
  <si>
    <t xml:space="preserve">011130   Önkormányzatok és önk hiv jogalkotó és ált ig tevékenysége </t>
  </si>
  <si>
    <t>B16</t>
  </si>
  <si>
    <t>Egyéb működési célú támogatások bevételei államháztartáson belülről</t>
  </si>
  <si>
    <t>B402</t>
  </si>
  <si>
    <t>Szolgáltatások ellenértéke Esküvői szolgáltatás</t>
  </si>
  <si>
    <t>B404</t>
  </si>
  <si>
    <t>Tulajdonosi bevételek (osztalék bevétel)</t>
  </si>
  <si>
    <t>B406</t>
  </si>
  <si>
    <t>Kiszámlázott áfa</t>
  </si>
  <si>
    <t>B408</t>
  </si>
  <si>
    <t>Kamatbevételek</t>
  </si>
  <si>
    <t>B411</t>
  </si>
  <si>
    <t>Egyéb működési bevételek</t>
  </si>
  <si>
    <t>B52</t>
  </si>
  <si>
    <t>Ingatlanok értékesítése (Eladott lakások törlesztő részlete)</t>
  </si>
  <si>
    <t>Működési célú kölcsönök visszatérülése (Helyi tám törl)</t>
  </si>
  <si>
    <t>900020 Önkormányzatok funkcióira nem sorolható bevételei áll.kív.</t>
  </si>
  <si>
    <t>B34</t>
  </si>
  <si>
    <t>Vagyoni típusú adók</t>
  </si>
  <si>
    <t>B341</t>
  </si>
  <si>
    <t>Építményadó</t>
  </si>
  <si>
    <t>B344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</si>
  <si>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</si>
  <si>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</si>
  <si>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</si>
  <si>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</si>
  <si>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</si>
  <si>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</si>
  <si>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</si>
  <si>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</si>
  <si>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</si>
  <si>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</si>
  <si>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</si>
  <si>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</si>
  <si>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B36</t>
  </si>
  <si>
    <t>Egyéb közhatalmi bevételek</t>
  </si>
  <si>
    <t>B3617</t>
  </si>
  <si>
    <t>Késedelmi pótlék</t>
  </si>
  <si>
    <t>013320 Köztemető fenntartás és működtetés</t>
  </si>
  <si>
    <t xml:space="preserve">Szolgáltatások ellenértéke </t>
  </si>
  <si>
    <t>013350   Az önkormányzati vagyonnal való gazdálkodással kapcsolatos feladatok</t>
  </si>
  <si>
    <t>Bérleti díj</t>
  </si>
  <si>
    <t>Lakbér</t>
  </si>
  <si>
    <t>B403</t>
  </si>
  <si>
    <t>Közvetített szolgáltatások ellenértéke</t>
  </si>
  <si>
    <t>B407</t>
  </si>
  <si>
    <t xml:space="preserve">Általános forgalmi adó visszatérítése 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</si>
  <si>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</si>
  <si>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</si>
  <si>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</si>
  <si>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</si>
  <si>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</si>
  <si>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</si>
  <si>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</si>
  <si>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</si>
  <si>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</si>
  <si>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 xml:space="preserve">B114 </t>
  </si>
  <si>
    <t>Települési önkormányzatok kulturális feladatainak támogatása</t>
  </si>
  <si>
    <t>B115</t>
  </si>
  <si>
    <t>B116</t>
  </si>
  <si>
    <t>Elszámolásból származó bevételek</t>
  </si>
  <si>
    <t>B21</t>
  </si>
  <si>
    <t>018020    Központi költségvetési befizetések</t>
  </si>
  <si>
    <t>B814</t>
  </si>
  <si>
    <t>Államháztartáson belüli megelőlegezések</t>
  </si>
  <si>
    <t>018030    Támogatási célú finanszírozási műveletek</t>
  </si>
  <si>
    <t>Egyéb működési célú támogatások bevételei áh belülről</t>
  </si>
  <si>
    <t>Társult önk.támogatása óvodai neveléshez</t>
  </si>
  <si>
    <t>B81</t>
  </si>
  <si>
    <t>Belföldi finanszírozás bevételei</t>
  </si>
  <si>
    <t>B8131</t>
  </si>
  <si>
    <t>Előző év költségvetési maradványának igénybevétele</t>
  </si>
  <si>
    <t>041233   Hosszabb időtartamú közfoglalkoztatás</t>
  </si>
  <si>
    <t>047320   Turizmusfejlesztési támogatások és tevékenységek</t>
  </si>
  <si>
    <t>B401</t>
  </si>
  <si>
    <t>Készletértékesítés ellenértéke</t>
  </si>
  <si>
    <t>066020   Város és községgazdálkodási egyéb szolgáltatások</t>
  </si>
  <si>
    <t>072311    Fogorvosi alapellátás</t>
  </si>
  <si>
    <t>074031   Család és nővédelmi egészségügyi gondozás</t>
  </si>
  <si>
    <t>081061   Szabadidős park, fürdő és strandszolgáltatás</t>
  </si>
  <si>
    <t>Szolgáltatások ellenértéke</t>
  </si>
  <si>
    <t>082044   Könyvtári szolgáltatások</t>
  </si>
  <si>
    <t>Bevételek összesen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</si>
  <si>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</si>
  <si>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</si>
  <si>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</si>
  <si>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</si>
  <si>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</si>
  <si>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</si>
  <si>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</si>
  <si>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</si>
  <si>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Polgármesteri illetmény támogatása</t>
  </si>
  <si>
    <t>Települési önkormányzatok egyes köznevelési feladatainak támogatása</t>
  </si>
  <si>
    <t xml:space="preserve">Települési önk szociális,gyermekjóléti és gyermekétkeztetési feladat. </t>
  </si>
  <si>
    <t>Működési célú központosított kiegészítő támogatása</t>
  </si>
  <si>
    <t>Hosszabb időtartamú közfoglalkoztatás támogatása</t>
  </si>
  <si>
    <t xml:space="preserve">     Önkormányzatok támogatása óvodai ellátáshoz</t>
  </si>
  <si>
    <t>Egyéb felhalmozási célú támogatások</t>
  </si>
  <si>
    <t>B361</t>
  </si>
  <si>
    <t>Közvetített szolgáltatások ellenértéke (Továbbszámlázott)</t>
  </si>
  <si>
    <t>Ált.forgalmi adó visszatérítés</t>
  </si>
  <si>
    <t>Készletértékesítés ellenértéke (Tourinform)</t>
  </si>
  <si>
    <t>B8141</t>
  </si>
  <si>
    <t>Államháztartáson belüli megelőlegezések visszafizetése</t>
  </si>
  <si>
    <t>feladatonként</t>
  </si>
  <si>
    <t xml:space="preserve">          Ft</t>
  </si>
  <si>
    <t>Előirányzat</t>
  </si>
  <si>
    <t>Kötelező feladatok</t>
  </si>
  <si>
    <t>Önként vállalt feladatok</t>
  </si>
  <si>
    <t>Állam igazgatási feladatok</t>
  </si>
  <si>
    <t>Összesen</t>
  </si>
  <si>
    <t>011130   Önkormányzatok és önk hiv jogalkotó és ált ig tev.</t>
  </si>
  <si>
    <t>900020   Önkormányzatok funkcióira nem sorolható bev.</t>
  </si>
  <si>
    <t>013320   Köztemető fenntartása és működtetése</t>
  </si>
  <si>
    <t>013350   Az önkormányzati vagyonnal v. gazd. kapcs fel.</t>
  </si>
  <si>
    <t>018010   Önkormányzatok elszám. a közp  költségvetéssel</t>
  </si>
  <si>
    <t>018020   Központi költségvetési befizetések</t>
  </si>
  <si>
    <t>018030   Támogatási célú finanszírozási műveletek</t>
  </si>
  <si>
    <t>041233    Hosszabb időtartamú közfoglalkoztatás</t>
  </si>
  <si>
    <t>082092   Közművelődés</t>
  </si>
  <si>
    <t xml:space="preserve"> Ft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</si>
  <si>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</si>
  <si>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</si>
  <si>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</si>
  <si>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</si>
  <si>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</si>
  <si>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</si>
  <si>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</si>
  <si>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</si>
  <si>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</si>
  <si>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</si>
  <si>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</si>
  <si>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</si>
  <si>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</si>
  <si>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</si>
  <si>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Polgármester illetménye</t>
  </si>
  <si>
    <t>Polgármester jutalma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</si>
  <si>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</si>
  <si>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</si>
  <si>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</si>
  <si>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</si>
  <si>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</si>
  <si>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</si>
  <si>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</si>
  <si>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</si>
  <si>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</si>
  <si>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</si>
  <si>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</si>
  <si>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</si>
  <si>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K312</t>
  </si>
  <si>
    <t>Üzemeltetési anyagok beszerzése</t>
  </si>
  <si>
    <t>Egyéb anyagbeszerzés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</si>
  <si>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</si>
  <si>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</si>
  <si>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</si>
  <si>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</si>
  <si>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</si>
  <si>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</si>
  <si>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</si>
  <si>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</si>
  <si>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</si>
  <si>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</si>
  <si>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</si>
  <si>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</si>
  <si>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</si>
  <si>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</si>
  <si>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</si>
  <si>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</si>
  <si>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</si>
  <si>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</si>
  <si>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</si>
  <si>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K34</t>
  </si>
  <si>
    <t>Kiküldetések,reklám és propagandakiadások</t>
  </si>
  <si>
    <t>K341</t>
  </si>
  <si>
    <t>Kiküldetés kiadásai</t>
  </si>
  <si>
    <t>Belföldi kiküldetés</t>
  </si>
  <si>
    <t>K35</t>
  </si>
  <si>
    <t>Különféle befizetések és egyéb dologi kiadások</t>
  </si>
  <si>
    <t>K351</t>
  </si>
  <si>
    <t>Működési célú előzetesen felszámított áfa</t>
  </si>
  <si>
    <t>K353</t>
  </si>
  <si>
    <t>ÁH-n belüli kamatkiadások</t>
  </si>
  <si>
    <t>K506</t>
  </si>
  <si>
    <t>Egyéb működési célú támogatások államháztartáson belülre</t>
  </si>
  <si>
    <t>Támogatásértékű műk kiadás  Közös Hivatalhoz</t>
  </si>
  <si>
    <t>Működési célú pénzeszköz átadás gazdálk.feladatokhoz(Kistérs)</t>
  </si>
  <si>
    <t>Működési célú pénzeszk átadás ,óvodai-iskolai busz bejárás tám.</t>
  </si>
  <si>
    <t>K512</t>
  </si>
  <si>
    <t>Egyéb működési célú támogatások államháztartáson kívülre</t>
  </si>
  <si>
    <t>K513</t>
  </si>
  <si>
    <t>Tartalékok</t>
  </si>
  <si>
    <t>K65</t>
  </si>
  <si>
    <t>Elmib részvény vásárlás</t>
  </si>
  <si>
    <t>K84</t>
  </si>
  <si>
    <t>Egyéb felhalmozási célú támogatások államháztartáson belülre</t>
  </si>
  <si>
    <t>Vizi Társulat érdekeltségi hozzájárulás</t>
  </si>
  <si>
    <t>018010  Önkormányzatok elszámolásai a központi költségvetéssel</t>
  </si>
  <si>
    <t>K502</t>
  </si>
  <si>
    <t>Önkormányzatok előző évi elszámolása</t>
  </si>
  <si>
    <t>018020  Központi költségvetési befizetések</t>
  </si>
  <si>
    <t>K914</t>
  </si>
  <si>
    <t>Előző évi támogatás megelőlegezés visszatérítése</t>
  </si>
  <si>
    <t>Államháztartáson belüli megelőlegezések  visszafizetése</t>
  </si>
  <si>
    <t>018030 Támogatási célú finanszírozási műveletek</t>
  </si>
  <si>
    <t>Állami támogatás</t>
  </si>
  <si>
    <t>Társult önkormányzatok támogatása</t>
  </si>
  <si>
    <t>Révfülöp önkormányzat támogatása</t>
  </si>
  <si>
    <t>Bölcsődei ellátás támogatása ( Zánka)</t>
  </si>
  <si>
    <t>013320    Köztemető fenntartása és működtetése</t>
  </si>
  <si>
    <t>K1113</t>
  </si>
  <si>
    <t>Bérleti és lizing díjak</t>
  </si>
  <si>
    <t>K335</t>
  </si>
  <si>
    <t>Közvetített szolgáltatások</t>
  </si>
  <si>
    <t>K352</t>
  </si>
  <si>
    <t>Fizetendő áfa</t>
  </si>
  <si>
    <t>K62</t>
  </si>
  <si>
    <t>K67</t>
  </si>
  <si>
    <t>Beruházási célú előzetesen felszámított Áfa</t>
  </si>
  <si>
    <t>031060 Bűnmegelőzés</t>
  </si>
  <si>
    <t>Polgárőr Egyesület támogatása</t>
  </si>
  <si>
    <t>032020 Tűz- és katasztrófavédelmi tevékenységek</t>
  </si>
  <si>
    <t>K1104</t>
  </si>
  <si>
    <t>Túlmunkadíj</t>
  </si>
  <si>
    <t>K21</t>
  </si>
  <si>
    <t xml:space="preserve">Szociális hozzájárulási adó </t>
  </si>
  <si>
    <t>045160   Közutak, hidak,alagútak üzemeltetése, fenntartása</t>
  </si>
  <si>
    <t>Hajtó-,kenőanyag</t>
  </si>
  <si>
    <t>K71</t>
  </si>
  <si>
    <t>Ingatlanok felújítása</t>
  </si>
  <si>
    <t>K74</t>
  </si>
  <si>
    <t>Felújítási célú előzetesen felszámított Áfa</t>
  </si>
  <si>
    <t>K313</t>
  </si>
  <si>
    <t>Árubeszerzés</t>
  </si>
  <si>
    <t>Gázdíj</t>
  </si>
  <si>
    <t>K342</t>
  </si>
  <si>
    <t>Reklám és propaganda kiadások</t>
  </si>
  <si>
    <t>061030  Lakáshoz jutást segítő támogatások</t>
  </si>
  <si>
    <t>K89</t>
  </si>
  <si>
    <t>Egyéb felhalmozási c.támogatások áll.h.kívűlre-háztartásoknal</t>
  </si>
  <si>
    <t>064010   Közvilágítás</t>
  </si>
  <si>
    <t>066010   Zöldterület kezelés</t>
  </si>
  <si>
    <t>K1109</t>
  </si>
  <si>
    <t>Közlekedési költségtérítés</t>
  </si>
  <si>
    <t>K122</t>
  </si>
  <si>
    <t>Egyéb jogviszonyban foglalkoztatottaknak fizetett juttatások</t>
  </si>
  <si>
    <t>K27</t>
  </si>
  <si>
    <t>Ingatlanok beszerzése, létesítése  (Pályázatok előkészítése)</t>
  </si>
  <si>
    <t>072111   Háziorvosi alapellátás</t>
  </si>
  <si>
    <t>072112   Háziorvosi ügyeleti ellátás</t>
  </si>
  <si>
    <t>K1110</t>
  </si>
  <si>
    <t>Egyéb költségtérítések</t>
  </si>
  <si>
    <t>Külső személyi juttatás</t>
  </si>
  <si>
    <t>Munkavégzésre i.egyéb jogviszonyban foglalkoztat. fizetett jutt.</t>
  </si>
  <si>
    <t>081030  Sportlétesítmények működtetése</t>
  </si>
  <si>
    <t>081041    Versenysport és utánpótlás nevelési tevékenység és támogatása</t>
  </si>
  <si>
    <t>082042   Könyvtári állomány gyarapítása</t>
  </si>
  <si>
    <t>Kiküldetési kiadások</t>
  </si>
  <si>
    <t>086030 Nemzetközi kulturális együttműködés</t>
  </si>
  <si>
    <t>Testvér városi-települési kiadások</t>
  </si>
  <si>
    <t>Finn Baráti Társaság, Román testvér település támogatása</t>
  </si>
  <si>
    <t>Ellátottak juttatásai</t>
  </si>
  <si>
    <t>107052   Házi segítségnyújtás</t>
  </si>
  <si>
    <t>Működési célú pénzeszköz átadás házi segítségnyújtáshoz</t>
  </si>
  <si>
    <t>107060   Egyéb szociális pénzbeli és természetbeni ellátások, támogatások</t>
  </si>
  <si>
    <t>K48</t>
  </si>
  <si>
    <t>Önkormányzat által saját hatáskörben nyújtott pénzügyi ellátás</t>
  </si>
  <si>
    <t>Települési támogatás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</si>
  <si>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</si>
  <si>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</si>
  <si>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</si>
  <si>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</si>
  <si>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018010  Önkormányzatok elszámolás a központi költségvetéssel</t>
  </si>
  <si>
    <t>018030  Támogatási célú finanszírozási műveletek</t>
  </si>
  <si>
    <t>013350   Az önkormányzati vagyonnal való gazdálkodással kapcs feladatok</t>
  </si>
  <si>
    <t>031060    Bűnmegelőlegezés</t>
  </si>
  <si>
    <t>032020   Tűz-és katasztrófavédelmi tevékenység</t>
  </si>
  <si>
    <t>061030    Lakáshoz jutást segítő támogatások</t>
  </si>
  <si>
    <t>081030   Sportlétesítmények működtetése</t>
  </si>
  <si>
    <t>081041   Versenysport és utánpótlás nevelési tevékenység és támogatása</t>
  </si>
  <si>
    <t>086030  Nemzetközi kultúrális együttműködés</t>
  </si>
  <si>
    <t>104051   Gyermekvédelmi pénzbeni és természetbeni ellátások</t>
  </si>
  <si>
    <t>106020 Lakásfenntartással, lakhatással összefüggő ellátások</t>
  </si>
  <si>
    <t>107051   Szociális étkeztetés</t>
  </si>
  <si>
    <t>Ft</t>
  </si>
  <si>
    <t xml:space="preserve">Kiemelt előirányzat </t>
  </si>
  <si>
    <t>Beruházás nettó összesen</t>
  </si>
  <si>
    <t>Beruházás  Áfa</t>
  </si>
  <si>
    <t>Beruházás Bruttó összesen</t>
  </si>
  <si>
    <t xml:space="preserve">Beruházások összesen              K6 össz.       </t>
  </si>
  <si>
    <t>Szigeti, Császtai strand felújítás</t>
  </si>
  <si>
    <t>Felújítások Nettó összesen:</t>
  </si>
  <si>
    <t>Felújítások Áfája</t>
  </si>
  <si>
    <t>Felújítások összesen                K7 össz.</t>
  </si>
  <si>
    <t>Felhalmozási kiadások összesen           (K6+K7 )</t>
  </si>
  <si>
    <t>Felhalmozási kiadások összesen     Bruttó</t>
  </si>
  <si>
    <t>2018.év</t>
  </si>
  <si>
    <t>Működési célú támogatások áh belülről</t>
  </si>
  <si>
    <t>Működési célú bevételek összesen</t>
  </si>
  <si>
    <t xml:space="preserve">Munkaadókat terhelő járulékok </t>
  </si>
  <si>
    <t>Működési célú kiadások összesen</t>
  </si>
  <si>
    <t>Finanszírozási bevételek összesen</t>
  </si>
  <si>
    <t>Finanszírozási kiadások összesen</t>
  </si>
  <si>
    <t>Felhalmozási célú támogatások államh belülről</t>
  </si>
  <si>
    <t>Felhalmozási célú bevételek összesen</t>
  </si>
  <si>
    <t>Felhalmozási célú kiadások összesen</t>
  </si>
  <si>
    <t>Civil szervezetek támogatása</t>
  </si>
  <si>
    <t>Temetési szolgáltatás</t>
  </si>
  <si>
    <t>Esküvői szolgáltatás</t>
  </si>
  <si>
    <t>Strand bevétel</t>
  </si>
  <si>
    <t>Könyvtári szolgáltatás</t>
  </si>
  <si>
    <t>Bérleti díj - piac</t>
  </si>
  <si>
    <t>047120 Piac üzemeltetése</t>
  </si>
  <si>
    <t>Informatikai szolgáltatások igénybevétele (internet díj, honlap)</t>
  </si>
  <si>
    <t>Egyéb kommunikációs szolgáltatások (telefondíj)</t>
  </si>
  <si>
    <t>K1102</t>
  </si>
  <si>
    <t>082061   Múzeumi gyűjteményi tevékenység</t>
  </si>
  <si>
    <t>082063   Múzeumi kiállítási tevékenység</t>
  </si>
  <si>
    <t xml:space="preserve">Bursa Hungarica támogatás </t>
  </si>
  <si>
    <t>Normatív jutalom</t>
  </si>
  <si>
    <t>047120 Piac üzemeltetés</t>
  </si>
  <si>
    <t>Foglalkoztatottak személyi juttatása (szabadságmegváltás)</t>
  </si>
  <si>
    <t>Teljesítés  2017.év</t>
  </si>
  <si>
    <t>Teljesítés   2018.év</t>
  </si>
  <si>
    <t>Teljesítés 2017.év</t>
  </si>
  <si>
    <t>Teljesítés     2018.év</t>
  </si>
  <si>
    <t>Császtai strand gyermekpancsoló kialakítása</t>
  </si>
  <si>
    <t>Szabadtéri színpad eszközbeszerzés</t>
  </si>
  <si>
    <t>Gép, berendezés beszerzés (községgazdálkodás)</t>
  </si>
  <si>
    <t>ELMIB részvény vásárlás(önkorm.igazgatás)</t>
  </si>
  <si>
    <t xml:space="preserve">Orvos lakás </t>
  </si>
  <si>
    <t>Gép, berendezés beszerzés (konyha)</t>
  </si>
  <si>
    <t>Informatikai eszközök beszerzése (igazgatás)</t>
  </si>
  <si>
    <t>Védőnő épület felújítás</t>
  </si>
  <si>
    <t>Óvoda tornaszoba felújítás</t>
  </si>
  <si>
    <t>Önkormányzati ingatlanok felújítása (községgazdálkodás)</t>
  </si>
  <si>
    <t>Önkormányzati ingatlanok felújítása (utak)</t>
  </si>
  <si>
    <t>Ingatlanok beszerzése, létesítése  (Gyermekpancsoló)</t>
  </si>
  <si>
    <t>K63</t>
  </si>
  <si>
    <t>Egyéb tárgyi eszközök besezrzése, létesítése</t>
  </si>
  <si>
    <t>Egyéb tárgyi eszközök beszerzése</t>
  </si>
  <si>
    <t>Informatikai eszközök beszerzése</t>
  </si>
  <si>
    <t>K64</t>
  </si>
  <si>
    <t>047120   Piac üzemeltetés, fenntartás</t>
  </si>
  <si>
    <t>047120    Piac üzemeltetése, fenntartása</t>
  </si>
  <si>
    <t>Ingatlanok felújítása (önkormányzati ingatlanok)</t>
  </si>
  <si>
    <t>Ingatlanok felújítása (orvos lakás)</t>
  </si>
  <si>
    <t>Jutalom</t>
  </si>
  <si>
    <t>Ingatlan beruházások (tervezés)</t>
  </si>
  <si>
    <t>Módosított előirányzat</t>
  </si>
  <si>
    <t>B25</t>
  </si>
  <si>
    <t>Központi költségvetéstől</t>
  </si>
  <si>
    <t>Felhalmozási célú átvett pénzeszköz</t>
  </si>
  <si>
    <t>B75</t>
  </si>
  <si>
    <t>Felhalmozási célú átvett péneszköz</t>
  </si>
  <si>
    <t>082092 Közművelődés-hagyományos közösségi kulturális értékek gondozása</t>
  </si>
  <si>
    <t>B65</t>
  </si>
  <si>
    <t>Működési célú átvett pénzeszközök háztartásoktól</t>
  </si>
  <si>
    <t>062020 Településfejlesztési projektek és támogatásuk</t>
  </si>
  <si>
    <t>Fejezet kezelésű előirányzattól</t>
  </si>
  <si>
    <t>Működési céú támogatás visszatérülés (DRV)</t>
  </si>
  <si>
    <t>2018. évi Balaton Fejlesztési Tanács pályázat</t>
  </si>
  <si>
    <t>062020    Településfejlesztési projektek és támogatások</t>
  </si>
  <si>
    <t>Szakmai gyakorlat képzési díj</t>
  </si>
  <si>
    <t>K61</t>
  </si>
  <si>
    <t>Immateriális javak (gőzhajó részvény)</t>
  </si>
  <si>
    <t>Gőzhajó részvény</t>
  </si>
  <si>
    <t>Helyi önkormányzattól működési célú támogatás bevétele (Ábrahámhegy Önkormányzat)</t>
  </si>
  <si>
    <t>Működési célú átvett pénzeszköz (testvér település)</t>
  </si>
  <si>
    <t>Működési célú költségvetési kiegészítő támogatások                     (Lakossági csatorna pályázat, Szociális tüzifa pályázat)</t>
  </si>
  <si>
    <t>B213</t>
  </si>
  <si>
    <t>Felhalmozási célú önkormányzati támogatások</t>
  </si>
  <si>
    <t>Felhalmozási célú önkormányzati támogatások (Egészségház felújítás pályázat)</t>
  </si>
  <si>
    <t>NEAK támogatás</t>
  </si>
  <si>
    <t>Fejezet kezelésű előirányzattól (Magyar Faluprogram Orvosi eszközök)</t>
  </si>
  <si>
    <t>Magyar Faluprogram Óvoda udvar eszközök</t>
  </si>
  <si>
    <t>Magyar Faluprogram Temető</t>
  </si>
  <si>
    <t>Egyéb vállakozás támogatása (DRV Lakossági víz pályázat)</t>
  </si>
  <si>
    <t>B253</t>
  </si>
  <si>
    <t>Egyéb működési célú tám. áh belülre (Óvoda Társulás támogatása)</t>
  </si>
  <si>
    <t>Túlóra</t>
  </si>
  <si>
    <t>062020 Településfejlesztési projektek</t>
  </si>
  <si>
    <t>Egyéb tárgyi eszköz beszerzés (Orvosi eszközök)</t>
  </si>
  <si>
    <t>Egyéb tárgyi eszközök beszerzése (strand lépcsők)</t>
  </si>
  <si>
    <t>086010 Határon túli magyarok egyéb támogatásai</t>
  </si>
  <si>
    <t xml:space="preserve">      NEAK támogatás védőnői szolgálat működéséhez</t>
  </si>
  <si>
    <t>086010   Határon túli magyarok egyéb támogatásai</t>
  </si>
  <si>
    <t xml:space="preserve">ebből tartalék </t>
  </si>
  <si>
    <t>Munkavégzésre i. egyéb jogviszonyban foglalkoztat. fizetett jutt.</t>
  </si>
  <si>
    <t>074031 Család és nővédelmi egészségügyi gondozás</t>
  </si>
  <si>
    <t>Működési célú átvett pénzeszköz (Pécsi Tudományegyetem)</t>
  </si>
  <si>
    <t xml:space="preserve">Ábrahámhegy Község Önkormányzata </t>
  </si>
  <si>
    <t>Tapolca Társulás ( család és gyermekjóléti szolgálat, szociális étkeztetés,házi segítségnyújtás, háziorvosi ügyelet)</t>
  </si>
  <si>
    <t>Orvosi eszközök beszerzése</t>
  </si>
  <si>
    <t>Strand lépcsők beszerzése</t>
  </si>
  <si>
    <t>1. melléklet a ../2020.(..) önkormányzati rendelethez</t>
  </si>
  <si>
    <t>2. melléklet a ../2020 .(..) önkormányzati rendelethez</t>
  </si>
  <si>
    <t>3. melléklet a ../2020.(..) önkormányzati rendelethez</t>
  </si>
  <si>
    <t>4. melléklet a ../2020.(..) önkormányzati rendelethez</t>
  </si>
  <si>
    <t>5. melléklet a ../2020.(..)önkormányzati rendelethez</t>
  </si>
  <si>
    <t>6. melléklet  a ../2020.(..) önkormányzati rendelethez</t>
  </si>
  <si>
    <t>K355</t>
  </si>
  <si>
    <t>Egyéb dologi kiadások</t>
  </si>
  <si>
    <t>Egyéb személyi juttatások</t>
  </si>
  <si>
    <t>Ingatlan beruházás</t>
  </si>
  <si>
    <t>Közös Hivatal támogatása</t>
  </si>
  <si>
    <t>Egyéb szolgáltatás</t>
  </si>
  <si>
    <t>Üzemeltetési anyagok</t>
  </si>
  <si>
    <t>Egyéb tárgyi eszköz beszerzése</t>
  </si>
  <si>
    <t>Beruházási célú előzetesen felszámított áfa</t>
  </si>
  <si>
    <t>Egyéb tárgyi eszközök</t>
  </si>
  <si>
    <t>Közművelődés bevételek</t>
  </si>
  <si>
    <t>7.melléklet a .../2020.(...)önkormányzati rendelethez</t>
  </si>
  <si>
    <t xml:space="preserve">Védőnő szűrőaudiometer </t>
  </si>
  <si>
    <t>Könytár puffok, könyvtartók</t>
  </si>
  <si>
    <t>Iskola felújítás (községgazdálkodás)</t>
  </si>
  <si>
    <t>8. melléklet a ../2020.(..) önkormányzati rendelethez</t>
  </si>
  <si>
    <t>9. melléklet a ../2020.(..) önkormányzati rendelethez</t>
  </si>
  <si>
    <t>Teljesítés 12.31.</t>
  </si>
  <si>
    <t>%</t>
  </si>
  <si>
    <t>2019. évi költségvetés bevételei</t>
  </si>
  <si>
    <t xml:space="preserve">2019. évi költségvetés összevont  mérlege </t>
  </si>
  <si>
    <t>B161</t>
  </si>
  <si>
    <t>B162</t>
  </si>
  <si>
    <t>Központi költségvetéstől (bursa ösztöndíj)</t>
  </si>
  <si>
    <t>B64</t>
  </si>
  <si>
    <t>Bethlen Gábor Alap pályázat</t>
  </si>
  <si>
    <t>Bursa ösztöndíj</t>
  </si>
  <si>
    <t>Forint</t>
  </si>
  <si>
    <t>K22</t>
  </si>
  <si>
    <t>Táppénz hozzájárulás</t>
  </si>
  <si>
    <t>Egyéb személyi juttatás</t>
  </si>
  <si>
    <t>Teljesítés         2019. év</t>
  </si>
  <si>
    <t>Teljesítés       2019.év</t>
  </si>
  <si>
    <t>10. melléklet a ../2020.(..) önkormányzati rendelethez</t>
  </si>
  <si>
    <t>Nyitó</t>
  </si>
  <si>
    <t>Záró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</si>
  <si>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</si>
  <si>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</si>
  <si>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</si>
  <si>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</si>
  <si>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</si>
  <si>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</si>
  <si>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</si>
  <si>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</si>
  <si>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</si>
  <si>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</si>
  <si>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</si>
  <si>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</si>
  <si>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</si>
  <si>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</si>
  <si>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</si>
  <si>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</si>
  <si>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</si>
  <si>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</si>
  <si>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</si>
  <si>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</si>
  <si>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D/I/1 Költségvetési évben esedékes követelések működési célú támogatások bevételeire államháztartáson belülről (&gt;=D/I/1a)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</si>
  <si>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</si>
  <si>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</si>
  <si>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</si>
  <si>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</si>
  <si>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</si>
  <si>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</si>
  <si>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</si>
  <si>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</si>
  <si>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</si>
  <si>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</si>
  <si>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D/I/5b - ebből: költségvetési évben esedékes követelések ingatlanok értékesítésére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</si>
  <si>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</si>
  <si>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</si>
  <si>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</si>
  <si>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</si>
  <si>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</si>
  <si>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D/III/4 Forgótőke elszámolása</t>
  </si>
  <si>
    <t>D/III/7 Folyósított, megelőlegezett társadalombiztosítási és családtámogatási ellátások elszámolása</t>
  </si>
  <si>
    <t>D/III Követelés jellegű sajátos elszámolások (=D/III/1+…+D/III/9)</t>
  </si>
  <si>
    <t>D) KÖVETELÉSEK  (=D/I+D/II+D/III)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</si>
  <si>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</si>
  <si>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</si>
  <si>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</si>
  <si>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</si>
  <si>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</si>
  <si>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</si>
  <si>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</si>
  <si>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</si>
  <si>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H/I/4 Költségvetési évben esedékes kötelezettségek ellátottak pénzbeli juttatásaira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</si>
  <si>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</si>
  <si>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</si>
  <si>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</si>
  <si>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</si>
  <si>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</si>
  <si>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</si>
  <si>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H/III/8 Letétre, megőrzésre, fedezetkezelésre átvett pénzeszközök, biztosítékok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</si>
  <si>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</si>
  <si>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</si>
  <si>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</si>
  <si>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</si>
  <si>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</si>
  <si>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Vagyonkimutatás</t>
  </si>
  <si>
    <t>2019. december 31</t>
  </si>
  <si>
    <t>Révfülöp Nagyközség Önkormányzata</t>
  </si>
  <si>
    <t>Pénzmaradvány kimutatás</t>
  </si>
  <si>
    <t>11.melléklet a …/2020.(…)önkormányzati rendelethez</t>
  </si>
  <si>
    <t>2019. év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</si>
  <si>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</si>
  <si>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</si>
  <si>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</si>
  <si>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</si>
  <si>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</si>
  <si>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</si>
  <si>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</si>
  <si>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</si>
  <si>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</si>
  <si>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</si>
  <si>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</si>
  <si>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</si>
  <si>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</si>
  <si>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</si>
  <si>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</si>
  <si>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</si>
  <si>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</si>
  <si>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</si>
  <si>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</si>
  <si>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</si>
  <si>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</si>
  <si>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</si>
  <si>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</si>
  <si>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</si>
  <si>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</si>
  <si>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</si>
  <si>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</si>
  <si>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Eredmény kimutatás</t>
  </si>
  <si>
    <t>12. melléklet a …./2020.(…)önkormányzati rendelethez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</si>
  <si>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</si>
  <si>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</si>
  <si>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</si>
  <si>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</si>
  <si>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</si>
  <si>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</si>
  <si>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</si>
  <si>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</si>
  <si>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</si>
  <si>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Összeg</t>
  </si>
  <si>
    <t xml:space="preserve"> Adatszolgáltatás a személyi juttatások és a foglalkoztatottak, választott tisztségviselők összetételéréről</t>
  </si>
  <si>
    <t>13. melléklet a …./2020.(…)önkormányzati rendelethez</t>
  </si>
  <si>
    <t>Normatív jutalmak, céljuttatás, projekt-prémium</t>
  </si>
  <si>
    <t>Készenléti, ügyeleti, helyettesí-tési díj, túlóra</t>
  </si>
  <si>
    <t>Végkielégítés, jubileumi jutalom</t>
  </si>
  <si>
    <t>Költségtérítések</t>
  </si>
  <si>
    <t>Támogatások</t>
  </si>
  <si>
    <t>Foglalkoztatottak egyéb személyi juttatásai</t>
  </si>
  <si>
    <t>30</t>
  </si>
  <si>
    <t>"A", "B" fizetési osztály összesen</t>
  </si>
  <si>
    <t>32</t>
  </si>
  <si>
    <t>"E" - "J" fizetési osztály összesen</t>
  </si>
  <si>
    <t>40</t>
  </si>
  <si>
    <t>KÖZALKALMAZOTTAK ÖSSZESEN (=27+...+39)</t>
  </si>
  <si>
    <t>77</t>
  </si>
  <si>
    <t>fizikai alkalmazott, a költségvetési szerveknél foglalkoztatott egyéb munkavállaló  (fizikai alkalmazott)</t>
  </si>
  <si>
    <t>79</t>
  </si>
  <si>
    <t>közfoglalkoztatott</t>
  </si>
  <si>
    <t>81</t>
  </si>
  <si>
    <t>EGYÉB BÉRRENDSZER ÖSSZESEN (=74+…+80)</t>
  </si>
  <si>
    <t>90</t>
  </si>
  <si>
    <t>polgármester, főpolgármester</t>
  </si>
  <si>
    <t>91</t>
  </si>
  <si>
    <t>helyi önkormányzati képviselő-testület tagja, megyei közgyűlés tagja</t>
  </si>
  <si>
    <t>93</t>
  </si>
  <si>
    <t>VÁLASZTOTT TISZTSÉGVISELŐK ÖSSZESEN (=82+...+92)</t>
  </si>
  <si>
    <t>94</t>
  </si>
  <si>
    <t>FOGLALKOZTATOTTAK ÖSSZESEN (=26+40+51+57+62+67+73+81+93)</t>
  </si>
  <si>
    <t>95</t>
  </si>
  <si>
    <t>Zárólétszám (az időszak végén munkavégzésre irányuló jogviszonyban állók statisztikai állományi létszáma) (fő)</t>
  </si>
  <si>
    <t>96</t>
  </si>
  <si>
    <t>Munkajogi zárólétszám (az időszak végén munkaviszonyban állók létszáma) (fő)</t>
  </si>
  <si>
    <t>99</t>
  </si>
  <si>
    <t>Átlagos statisztikai állományi létszám (tényleges éves átlagos statisztikai állományi létszám) (fő)</t>
  </si>
  <si>
    <t xml:space="preserve">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</si>
  <si>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</si>
  <si>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</si>
  <si>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</si>
  <si>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</si>
  <si>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</si>
  <si>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</si>
  <si>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</si>
  <si>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14. melléklet a ../2020.(..) önkormányzati rendelethez</t>
  </si>
  <si>
    <t>01</t>
  </si>
  <si>
    <t>Tárgyévi nyitó állomány (előző évi záró állomány)</t>
  </si>
  <si>
    <t>02</t>
  </si>
  <si>
    <t>Immateriális javak beszerzése, nem aktivált beruházások</t>
  </si>
  <si>
    <t>03</t>
  </si>
  <si>
    <t>Nem aktivált felújítások</t>
  </si>
  <si>
    <t>04</t>
  </si>
  <si>
    <t>Beruházásokból, felújításokból aktivált érték</t>
  </si>
  <si>
    <t>07</t>
  </si>
  <si>
    <t>Egyéb növekedés</t>
  </si>
  <si>
    <t>08</t>
  </si>
  <si>
    <t>Összes növekedés  (=02+…+07)</t>
  </si>
  <si>
    <t>13</t>
  </si>
  <si>
    <t>Egyéb csökkenés</t>
  </si>
  <si>
    <t>14</t>
  </si>
  <si>
    <t>Összes csökkenés (=09+…+13)</t>
  </si>
  <si>
    <t>15</t>
  </si>
  <si>
    <t>Bruttó érték összesen (=01+08-14)</t>
  </si>
  <si>
    <t>16</t>
  </si>
  <si>
    <t>Terv szerinti értékcsökkenés nyitó állománya</t>
  </si>
  <si>
    <t>17</t>
  </si>
  <si>
    <t>Terv szerinti értékcsökkenés növekedése</t>
  </si>
  <si>
    <t>19</t>
  </si>
  <si>
    <t>Terv szerinti értékcsökkenés záró állománya  (=16+17-18)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</si>
  <si>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</si>
  <si>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</si>
  <si>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</si>
  <si>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</si>
  <si>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</si>
  <si>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</si>
  <si>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2019. évi költségvetés kiadásai</t>
  </si>
  <si>
    <t xml:space="preserve">2019.évi költségvetés  felhalmozási kiadásai </t>
  </si>
  <si>
    <t>Tájékoztató adatok a MŰKÖDÉSI bevételek és kiadások alakulásáról</t>
  </si>
  <si>
    <t>Tájékoztató adatok a  FELHALMOZÁSI bevételek és kiadások alakulásáról</t>
  </si>
  <si>
    <t xml:space="preserve">2019. évi költségvetés  kiadásai </t>
  </si>
  <si>
    <t>2019. évi költségvetés  bevételei</t>
  </si>
  <si>
    <t>Sor-szám</t>
  </si>
  <si>
    <t xml:space="preserve">Lét-szám* fő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</si>
</sst>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yyyy\-mm\-dd"/>
    <numFmt numFmtId="167" formatCode="0.0%"/>
  </numFmts>
  <fonts count="46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>
        <color indexed="63"/>
      </right>
      <top style="thin">
        <color indexed="59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>
        <color indexed="63"/>
      </right>
      <top style="medium"/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54" applyFont="1" applyBorder="1" applyAlignment="1">
      <alignment horizontal="right"/>
      <protection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3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166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49" fontId="4" fillId="33" borderId="15" xfId="0" applyNumberFormat="1" applyFont="1" applyFill="1" applyBorder="1" applyAlignment="1">
      <alignment horizontal="left"/>
    </xf>
    <xf numFmtId="3" fontId="4" fillId="33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3" fontId="8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3" fontId="5" fillId="35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3" fontId="4" fillId="35" borderId="15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33" borderId="15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horizontal="right" wrapText="1"/>
    </xf>
    <xf numFmtId="3" fontId="1" fillId="35" borderId="15" xfId="0" applyNumberFormat="1" applyFont="1" applyFill="1" applyBorder="1" applyAlignment="1">
      <alignment horizontal="right" wrapText="1"/>
    </xf>
    <xf numFmtId="3" fontId="1" fillId="0" borderId="15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166" fontId="5" fillId="0" borderId="15" xfId="0" applyNumberFormat="1" applyFont="1" applyFill="1" applyBorder="1" applyAlignment="1">
      <alignment horizontal="left"/>
    </xf>
    <xf numFmtId="166" fontId="4" fillId="0" borderId="15" xfId="0" applyNumberFormat="1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3" fontId="3" fillId="35" borderId="15" xfId="0" applyNumberFormat="1" applyFont="1" applyFill="1" applyBorder="1" applyAlignment="1">
      <alignment/>
    </xf>
    <xf numFmtId="0" fontId="5" fillId="35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left"/>
    </xf>
    <xf numFmtId="3" fontId="1" fillId="0" borderId="12" xfId="54" applyNumberFormat="1" applyFont="1" applyBorder="1">
      <alignment/>
      <protection/>
    </xf>
    <xf numFmtId="3" fontId="3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36" borderId="10" xfId="0" applyFont="1" applyFill="1" applyBorder="1" applyAlignment="1">
      <alignment/>
    </xf>
    <xf numFmtId="0" fontId="1" fillId="37" borderId="0" xfId="0" applyFont="1" applyFill="1" applyAlignment="1">
      <alignment/>
    </xf>
    <xf numFmtId="3" fontId="1" fillId="0" borderId="2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wrapText="1"/>
    </xf>
    <xf numFmtId="0" fontId="4" fillId="0" borderId="22" xfId="0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left"/>
    </xf>
    <xf numFmtId="0" fontId="1" fillId="0" borderId="22" xfId="0" applyFont="1" applyBorder="1" applyAlignment="1">
      <alignment/>
    </xf>
    <xf numFmtId="0" fontId="3" fillId="33" borderId="22" xfId="0" applyFont="1" applyFill="1" applyBorder="1" applyAlignment="1">
      <alignment/>
    </xf>
    <xf numFmtId="49" fontId="4" fillId="36" borderId="22" xfId="0" applyNumberFormat="1" applyFont="1" applyFill="1" applyBorder="1" applyAlignment="1">
      <alignment horizontal="left"/>
    </xf>
    <xf numFmtId="49" fontId="4" fillId="0" borderId="22" xfId="0" applyNumberFormat="1" applyFont="1" applyFill="1" applyBorder="1" applyAlignment="1">
      <alignment horizontal="left"/>
    </xf>
    <xf numFmtId="0" fontId="4" fillId="33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vertical="center"/>
    </xf>
    <xf numFmtId="3" fontId="4" fillId="36" borderId="15" xfId="0" applyNumberFormat="1" applyFont="1" applyFill="1" applyBorder="1" applyAlignment="1">
      <alignment vertical="center"/>
    </xf>
    <xf numFmtId="3" fontId="5" fillId="36" borderId="1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49" fontId="4" fillId="36" borderId="15" xfId="0" applyNumberFormat="1" applyFont="1" applyFill="1" applyBorder="1" applyAlignment="1">
      <alignment horizontal="left"/>
    </xf>
    <xf numFmtId="0" fontId="5" fillId="36" borderId="15" xfId="0" applyFont="1" applyFill="1" applyBorder="1" applyAlignment="1">
      <alignment horizontal="left"/>
    </xf>
    <xf numFmtId="3" fontId="4" fillId="36" borderId="15" xfId="0" applyNumberFormat="1" applyFont="1" applyFill="1" applyBorder="1" applyAlignment="1">
      <alignment/>
    </xf>
    <xf numFmtId="3" fontId="5" fillId="36" borderId="15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3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justify"/>
    </xf>
    <xf numFmtId="0" fontId="4" fillId="33" borderId="15" xfId="0" applyFont="1" applyFill="1" applyBorder="1" applyAlignment="1">
      <alignment horizontal="justify"/>
    </xf>
    <xf numFmtId="0" fontId="3" fillId="0" borderId="22" xfId="0" applyFont="1" applyBorder="1" applyAlignment="1">
      <alignment/>
    </xf>
    <xf numFmtId="0" fontId="0" fillId="0" borderId="15" xfId="0" applyBorder="1" applyAlignment="1">
      <alignment/>
    </xf>
    <xf numFmtId="0" fontId="6" fillId="33" borderId="2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6" fillId="33" borderId="22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49" fontId="5" fillId="0" borderId="22" xfId="0" applyNumberFormat="1" applyFont="1" applyFill="1" applyBorder="1" applyAlignment="1">
      <alignment horizontal="left" wrapText="1"/>
    </xf>
    <xf numFmtId="0" fontId="6" fillId="36" borderId="23" xfId="0" applyFont="1" applyFill="1" applyBorder="1" applyAlignment="1">
      <alignment/>
    </xf>
    <xf numFmtId="3" fontId="3" fillId="36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0" fontId="4" fillId="36" borderId="15" xfId="0" applyFont="1" applyFill="1" applyBorder="1" applyAlignment="1">
      <alignment horizontal="left"/>
    </xf>
    <xf numFmtId="0" fontId="1" fillId="0" borderId="24" xfId="0" applyFont="1" applyBorder="1" applyAlignment="1">
      <alignment/>
    </xf>
    <xf numFmtId="3" fontId="3" fillId="33" borderId="24" xfId="0" applyNumberFormat="1" applyFont="1" applyFill="1" applyBorder="1" applyAlignment="1">
      <alignment/>
    </xf>
    <xf numFmtId="0" fontId="5" fillId="36" borderId="23" xfId="0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3" fontId="1" fillId="38" borderId="15" xfId="0" applyNumberFormat="1" applyFont="1" applyFill="1" applyBorder="1" applyAlignment="1">
      <alignment/>
    </xf>
    <xf numFmtId="0" fontId="1" fillId="36" borderId="22" xfId="0" applyFont="1" applyFill="1" applyBorder="1" applyAlignment="1">
      <alignment horizontal="left"/>
    </xf>
    <xf numFmtId="0" fontId="3" fillId="36" borderId="25" xfId="0" applyFont="1" applyFill="1" applyBorder="1" applyAlignment="1">
      <alignment horizontal="left"/>
    </xf>
    <xf numFmtId="0" fontId="5" fillId="0" borderId="26" xfId="0" applyFont="1" applyBorder="1" applyAlignment="1">
      <alignment/>
    </xf>
    <xf numFmtId="0" fontId="4" fillId="33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0" fontId="4" fillId="33" borderId="26" xfId="0" applyFont="1" applyFill="1" applyBorder="1" applyAlignment="1">
      <alignment horizontal="left"/>
    </xf>
    <xf numFmtId="0" fontId="5" fillId="0" borderId="26" xfId="0" applyFont="1" applyBorder="1" applyAlignment="1">
      <alignment horizontal="left"/>
    </xf>
    <xf numFmtId="167" fontId="1" fillId="0" borderId="30" xfId="61" applyNumberFormat="1" applyFont="1" applyBorder="1" applyAlignment="1">
      <alignment/>
    </xf>
    <xf numFmtId="167" fontId="3" fillId="39" borderId="15" xfId="61" applyNumberFormat="1" applyFont="1" applyFill="1" applyBorder="1" applyAlignment="1">
      <alignment vertical="center"/>
    </xf>
    <xf numFmtId="3" fontId="1" fillId="36" borderId="24" xfId="0" applyNumberFormat="1" applyFont="1" applyFill="1" applyBorder="1" applyAlignment="1">
      <alignment/>
    </xf>
    <xf numFmtId="0" fontId="0" fillId="0" borderId="24" xfId="0" applyBorder="1" applyAlignment="1">
      <alignment/>
    </xf>
    <xf numFmtId="3" fontId="1" fillId="0" borderId="24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167" fontId="1" fillId="11" borderId="30" xfId="61" applyNumberFormat="1" applyFont="1" applyFill="1" applyBorder="1" applyAlignment="1">
      <alignment/>
    </xf>
    <xf numFmtId="167" fontId="3" fillId="11" borderId="30" xfId="61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167" fontId="3" fillId="39" borderId="30" xfId="61" applyNumberFormat="1" applyFont="1" applyFill="1" applyBorder="1" applyAlignment="1">
      <alignment vertical="center"/>
    </xf>
    <xf numFmtId="0" fontId="3" fillId="0" borderId="31" xfId="0" applyFont="1" applyBorder="1" applyAlignment="1">
      <alignment/>
    </xf>
    <xf numFmtId="167" fontId="1" fillId="36" borderId="30" xfId="61" applyNumberFormat="1" applyFont="1" applyFill="1" applyBorder="1" applyAlignment="1">
      <alignment vertical="center"/>
    </xf>
    <xf numFmtId="0" fontId="1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3" fillId="33" borderId="31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1" fillId="0" borderId="34" xfId="0" applyFont="1" applyBorder="1" applyAlignment="1">
      <alignment/>
    </xf>
    <xf numFmtId="3" fontId="3" fillId="0" borderId="28" xfId="0" applyNumberFormat="1" applyFont="1" applyBorder="1" applyAlignment="1">
      <alignment/>
    </xf>
    <xf numFmtId="167" fontId="3" fillId="36" borderId="35" xfId="61" applyNumberFormat="1" applyFont="1" applyFill="1" applyBorder="1" applyAlignment="1">
      <alignment vertical="center"/>
    </xf>
    <xf numFmtId="0" fontId="1" fillId="0" borderId="30" xfId="0" applyFont="1" applyBorder="1" applyAlignment="1">
      <alignment/>
    </xf>
    <xf numFmtId="0" fontId="3" fillId="36" borderId="31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167" fontId="1" fillId="0" borderId="30" xfId="61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1" fillId="0" borderId="26" xfId="0" applyFont="1" applyBorder="1" applyAlignment="1">
      <alignment/>
    </xf>
    <xf numFmtId="0" fontId="8" fillId="0" borderId="26" xfId="0" applyFont="1" applyFill="1" applyBorder="1" applyAlignment="1">
      <alignment/>
    </xf>
    <xf numFmtId="166" fontId="4" fillId="0" borderId="26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35" borderId="26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  <xf numFmtId="3" fontId="3" fillId="0" borderId="28" xfId="0" applyNumberFormat="1" applyFont="1" applyFill="1" applyBorder="1" applyAlignment="1">
      <alignment/>
    </xf>
    <xf numFmtId="167" fontId="1" fillId="0" borderId="35" xfId="61" applyNumberFormat="1" applyFont="1" applyFill="1" applyBorder="1" applyAlignment="1">
      <alignment/>
    </xf>
    <xf numFmtId="0" fontId="1" fillId="38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1" fillId="38" borderId="27" xfId="0" applyFont="1" applyFill="1" applyBorder="1" applyAlignment="1">
      <alignment/>
    </xf>
    <xf numFmtId="3" fontId="1" fillId="38" borderId="28" xfId="0" applyNumberFormat="1" applyFont="1" applyFill="1" applyBorder="1" applyAlignment="1">
      <alignment/>
    </xf>
    <xf numFmtId="167" fontId="1" fillId="40" borderId="30" xfId="61" applyNumberFormat="1" applyFont="1" applyFill="1" applyBorder="1" applyAlignment="1">
      <alignment/>
    </xf>
    <xf numFmtId="167" fontId="3" fillId="41" borderId="36" xfId="61" applyNumberFormat="1" applyFont="1" applyFill="1" applyBorder="1" applyAlignment="1">
      <alignment/>
    </xf>
    <xf numFmtId="10" fontId="3" fillId="11" borderId="35" xfId="61" applyNumberFormat="1" applyFont="1" applyFill="1" applyBorder="1" applyAlignment="1">
      <alignment/>
    </xf>
    <xf numFmtId="10" fontId="3" fillId="11" borderId="30" xfId="61" applyNumberFormat="1" applyFont="1" applyFill="1" applyBorder="1" applyAlignment="1">
      <alignment/>
    </xf>
    <xf numFmtId="10" fontId="1" fillId="0" borderId="30" xfId="61" applyNumberFormat="1" applyFont="1" applyBorder="1" applyAlignment="1">
      <alignment/>
    </xf>
    <xf numFmtId="167" fontId="3" fillId="41" borderId="30" xfId="61" applyNumberFormat="1" applyFont="1" applyFill="1" applyBorder="1" applyAlignment="1">
      <alignment/>
    </xf>
    <xf numFmtId="167" fontId="3" fillId="41" borderId="35" xfId="61" applyNumberFormat="1" applyFont="1" applyFill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54" applyFont="1" applyBorder="1" applyAlignment="1">
      <alignment/>
      <protection/>
    </xf>
    <xf numFmtId="0" fontId="3" fillId="0" borderId="0" xfId="54" applyFont="1" applyBorder="1" applyAlignment="1">
      <alignment/>
      <protection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left" vertical="top" wrapText="1"/>
    </xf>
    <xf numFmtId="3" fontId="3" fillId="0" borderId="15" xfId="0" applyNumberFormat="1" applyFont="1" applyBorder="1" applyAlignment="1">
      <alignment horizontal="right" vertical="top" wrapText="1"/>
    </xf>
    <xf numFmtId="0" fontId="1" fillId="0" borderId="26" xfId="0" applyFont="1" applyBorder="1" applyAlignment="1">
      <alignment horizontal="left" vertical="top" wrapText="1"/>
    </xf>
    <xf numFmtId="3" fontId="1" fillId="0" borderId="30" xfId="0" applyNumberFormat="1" applyFont="1" applyBorder="1" applyAlignment="1">
      <alignment horizontal="right" vertical="top" wrapText="1"/>
    </xf>
    <xf numFmtId="0" fontId="3" fillId="0" borderId="26" xfId="0" applyFont="1" applyBorder="1" applyAlignment="1">
      <alignment horizontal="left" vertical="top" wrapText="1"/>
    </xf>
    <xf numFmtId="3" fontId="3" fillId="0" borderId="30" xfId="0" applyNumberFormat="1" applyFont="1" applyBorder="1" applyAlignment="1">
      <alignment horizontal="right" vertical="top" wrapText="1"/>
    </xf>
    <xf numFmtId="0" fontId="3" fillId="0" borderId="27" xfId="0" applyFont="1" applyBorder="1" applyAlignment="1">
      <alignment horizontal="left" vertical="top" wrapText="1"/>
    </xf>
    <xf numFmtId="3" fontId="3" fillId="0" borderId="28" xfId="0" applyNumberFormat="1" applyFont="1" applyBorder="1" applyAlignment="1">
      <alignment horizontal="right" vertical="top" wrapText="1"/>
    </xf>
    <xf numFmtId="3" fontId="3" fillId="0" borderId="35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7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0" xfId="0" applyFont="1" applyAlignment="1" applyProtection="1">
      <alignment horizontal="center" wrapText="1"/>
      <protection locked="0"/>
    </xf>
    <xf numFmtId="0" fontId="3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left" vertical="top" wrapText="1"/>
    </xf>
    <xf numFmtId="3" fontId="1" fillId="0" borderId="28" xfId="0" applyNumberFormat="1" applyFont="1" applyBorder="1" applyAlignment="1">
      <alignment horizontal="right" vertical="top" wrapText="1"/>
    </xf>
    <xf numFmtId="3" fontId="1" fillId="0" borderId="35" xfId="0" applyNumberFormat="1" applyFont="1" applyBorder="1" applyAlignment="1">
      <alignment horizontal="right" vertical="top" wrapText="1"/>
    </xf>
    <xf numFmtId="0" fontId="3" fillId="0" borderId="37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4" fillId="33" borderId="2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37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5" fillId="36" borderId="22" xfId="0" applyFont="1" applyFill="1" applyBorder="1" applyAlignment="1">
      <alignment horizontal="left"/>
    </xf>
    <xf numFmtId="0" fontId="5" fillId="36" borderId="38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left"/>
    </xf>
    <xf numFmtId="49" fontId="5" fillId="0" borderId="38" xfId="0" applyNumberFormat="1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left" wrapText="1"/>
    </xf>
    <xf numFmtId="49" fontId="5" fillId="0" borderId="38" xfId="0" applyNumberFormat="1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left"/>
    </xf>
    <xf numFmtId="49" fontId="4" fillId="0" borderId="38" xfId="0" applyNumberFormat="1" applyFont="1" applyFill="1" applyBorder="1" applyAlignment="1">
      <alignment horizontal="left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167" fontId="3" fillId="0" borderId="36" xfId="0" applyNumberFormat="1" applyFont="1" applyBorder="1" applyAlignment="1">
      <alignment horizontal="center" vertical="center" wrapText="1"/>
    </xf>
    <xf numFmtId="167" fontId="3" fillId="0" borderId="30" xfId="0" applyNumberFormat="1" applyFont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left"/>
    </xf>
    <xf numFmtId="0" fontId="3" fillId="36" borderId="25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42" xfId="0" applyFont="1" applyBorder="1" applyAlignment="1">
      <alignment horizontal="right"/>
    </xf>
    <xf numFmtId="0" fontId="1" fillId="0" borderId="4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 wrapText="1"/>
    </xf>
    <xf numFmtId="0" fontId="5" fillId="0" borderId="4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right"/>
    </xf>
    <xf numFmtId="0" fontId="4" fillId="0" borderId="43" xfId="0" applyFont="1" applyBorder="1" applyAlignment="1">
      <alignment horizontal="center" vertical="center"/>
    </xf>
    <xf numFmtId="0" fontId="3" fillId="0" borderId="45" xfId="54" applyFont="1" applyBorder="1" applyAlignment="1">
      <alignment horizontal="center" wrapText="1"/>
      <protection/>
    </xf>
    <xf numFmtId="0" fontId="3" fillId="0" borderId="46" xfId="54" applyFont="1" applyBorder="1" applyAlignment="1">
      <alignment horizontal="center" wrapText="1"/>
      <protection/>
    </xf>
    <xf numFmtId="0" fontId="3" fillId="0" borderId="4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3" fillId="0" borderId="11" xfId="54" applyFont="1" applyBorder="1" applyAlignment="1">
      <alignment horizontal="center" wrapText="1"/>
      <protection/>
    </xf>
    <xf numFmtId="0" fontId="3" fillId="0" borderId="12" xfId="54" applyFont="1" applyBorder="1" applyAlignment="1">
      <alignment horizont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 applyProtection="1">
      <alignment horizontal="center" wrapText="1"/>
      <protection locked="0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PageLayoutView="0" workbookViewId="0" topLeftCell="A1">
      <selection activeCell="F41" sqref="F41"/>
    </sheetView>
  </sheetViews>
  <sheetFormatPr defaultColWidth="9.140625" defaultRowHeight="12.75"/>
  <cols>
    <col min="1" max="1" width="7.28125" style="1" customWidth="1"/>
    <col min="2" max="2" width="58.7109375" style="1" customWidth="1"/>
    <col min="3" max="3" width="16.57421875" style="1" customWidth="1"/>
    <col min="4" max="5" width="13.421875" style="1" customWidth="1"/>
    <col min="6" max="6" width="11.28125" style="1" customWidth="1"/>
    <col min="7" max="16384" width="9.140625" style="1" customWidth="1"/>
  </cols>
  <sheetData>
    <row r="1" spans="1:6" ht="15.75" customHeight="1">
      <c r="A1" s="287" t="s">
        <v>439</v>
      </c>
      <c r="B1" s="287"/>
      <c r="C1" s="287"/>
      <c r="D1" s="287"/>
      <c r="E1" s="287"/>
      <c r="F1" s="287"/>
    </row>
    <row r="2" spans="1:3" ht="15.75" customHeight="1">
      <c r="A2" s="2"/>
      <c r="B2" s="292"/>
      <c r="C2" s="292"/>
    </row>
    <row r="3" spans="1:6" ht="15.75" customHeight="1">
      <c r="A3" s="282" t="s">
        <v>0</v>
      </c>
      <c r="B3" s="282"/>
      <c r="C3" s="282"/>
      <c r="D3" s="282"/>
      <c r="E3" s="282"/>
      <c r="F3" s="282"/>
    </row>
    <row r="4" spans="1:6" ht="15.75" customHeight="1">
      <c r="A4" s="282" t="s">
        <v>465</v>
      </c>
      <c r="B4" s="282"/>
      <c r="C4" s="282"/>
      <c r="D4" s="282"/>
      <c r="E4" s="282"/>
      <c r="F4" s="282"/>
    </row>
    <row r="5" spans="1:3" ht="15.75" customHeight="1">
      <c r="A5" s="4"/>
      <c r="B5" s="4"/>
      <c r="C5" s="4"/>
    </row>
    <row r="6" spans="1:5" ht="15.75" customHeight="1" thickBot="1">
      <c r="A6" s="5"/>
      <c r="B6" s="5"/>
      <c r="C6" s="5"/>
      <c r="E6" s="1" t="s">
        <v>472</v>
      </c>
    </row>
    <row r="7" spans="1:6" ht="15.75" customHeight="1">
      <c r="A7" s="293" t="s">
        <v>1</v>
      </c>
      <c r="B7" s="294"/>
      <c r="C7" s="297" t="s">
        <v>2</v>
      </c>
      <c r="D7" s="297" t="s">
        <v>393</v>
      </c>
      <c r="E7" s="283" t="s">
        <v>462</v>
      </c>
      <c r="F7" s="285" t="s">
        <v>463</v>
      </c>
    </row>
    <row r="8" spans="1:6" ht="15.75" customHeight="1">
      <c r="A8" s="295"/>
      <c r="B8" s="296"/>
      <c r="C8" s="298"/>
      <c r="D8" s="298"/>
      <c r="E8" s="284"/>
      <c r="F8" s="286"/>
    </row>
    <row r="9" spans="1:6" ht="15.75" customHeight="1">
      <c r="A9" s="288" t="s">
        <v>3</v>
      </c>
      <c r="B9" s="289"/>
      <c r="C9" s="147">
        <f>SUM(C10:C13)</f>
        <v>360829161</v>
      </c>
      <c r="D9" s="147">
        <f>SUM(D10:D13)</f>
        <v>428541357</v>
      </c>
      <c r="E9" s="147">
        <f>SUM(E10:E13)</f>
        <v>428423692</v>
      </c>
      <c r="F9" s="238">
        <f>E9/D9</f>
        <v>0.9997254290675147</v>
      </c>
    </row>
    <row r="10" spans="1:6" ht="15.75" customHeight="1">
      <c r="A10" s="175" t="s">
        <v>4</v>
      </c>
      <c r="B10" s="149" t="s">
        <v>5</v>
      </c>
      <c r="C10" s="107">
        <f>'2. Bevétel funkció'!F136</f>
        <v>127505161</v>
      </c>
      <c r="D10" s="107">
        <f>'2. Bevétel funkció'!G136</f>
        <v>130320330</v>
      </c>
      <c r="E10" s="107">
        <f>'2. Bevétel funkció'!H136</f>
        <v>129835470</v>
      </c>
      <c r="F10" s="184">
        <f aca="true" t="shared" si="0" ref="F10:F21">E10/D10</f>
        <v>0.9962794753512364</v>
      </c>
    </row>
    <row r="11" spans="1:6" ht="15.75" customHeight="1">
      <c r="A11" s="175" t="s">
        <v>6</v>
      </c>
      <c r="B11" s="149" t="s">
        <v>7</v>
      </c>
      <c r="C11" s="107">
        <f>'2. Bevétel funkció'!F138</f>
        <v>117000000</v>
      </c>
      <c r="D11" s="107">
        <f>'2. Bevétel funkció'!G138</f>
        <v>155322687</v>
      </c>
      <c r="E11" s="107">
        <f>'2. Bevétel funkció'!H138</f>
        <v>155322687</v>
      </c>
      <c r="F11" s="184">
        <f t="shared" si="0"/>
        <v>1</v>
      </c>
    </row>
    <row r="12" spans="1:6" ht="15.75" customHeight="1">
      <c r="A12" s="175" t="s">
        <v>8</v>
      </c>
      <c r="B12" s="149" t="s">
        <v>9</v>
      </c>
      <c r="C12" s="107">
        <f>'2. Bevétel funkció'!F139</f>
        <v>115974000</v>
      </c>
      <c r="D12" s="107">
        <f>'2. Bevétel funkció'!G139</f>
        <v>141994423</v>
      </c>
      <c r="E12" s="107">
        <f>'2. Bevétel funkció'!H139</f>
        <v>142624818</v>
      </c>
      <c r="F12" s="239">
        <f t="shared" si="0"/>
        <v>1.004439575771226</v>
      </c>
    </row>
    <row r="13" spans="1:6" ht="15.75" customHeight="1">
      <c r="A13" s="175" t="s">
        <v>10</v>
      </c>
      <c r="B13" s="149" t="s">
        <v>11</v>
      </c>
      <c r="C13" s="107">
        <f>'2. Bevétel funkció'!F141</f>
        <v>350000</v>
      </c>
      <c r="D13" s="107">
        <f>'2. Bevétel funkció'!G141</f>
        <v>903917</v>
      </c>
      <c r="E13" s="107">
        <f>'2. Bevétel funkció'!H141</f>
        <v>640717</v>
      </c>
      <c r="F13" s="184">
        <f t="shared" si="0"/>
        <v>0.7088228233344434</v>
      </c>
    </row>
    <row r="14" spans="1:6" ht="15.75" customHeight="1">
      <c r="A14" s="175"/>
      <c r="B14" s="149"/>
      <c r="C14" s="107"/>
      <c r="D14" s="65"/>
      <c r="E14" s="65"/>
      <c r="F14" s="184"/>
    </row>
    <row r="15" spans="1:6" ht="15.75" customHeight="1">
      <c r="A15" s="176" t="s">
        <v>12</v>
      </c>
      <c r="B15" s="68"/>
      <c r="C15" s="108">
        <f>SUM(C16:C18)</f>
        <v>600000</v>
      </c>
      <c r="D15" s="108">
        <f>SUM(D16:D18)</f>
        <v>55879110</v>
      </c>
      <c r="E15" s="108">
        <f>SUM(E16:E18)</f>
        <v>55877285</v>
      </c>
      <c r="F15" s="192">
        <f t="shared" si="0"/>
        <v>0.999967340209964</v>
      </c>
    </row>
    <row r="16" spans="1:6" ht="15.75" customHeight="1">
      <c r="A16" s="175" t="s">
        <v>13</v>
      </c>
      <c r="B16" s="148" t="s">
        <v>14</v>
      </c>
      <c r="C16" s="107">
        <v>0</v>
      </c>
      <c r="D16" s="107">
        <f>'2. Bevétel funkció'!G137</f>
        <v>54436515</v>
      </c>
      <c r="E16" s="107">
        <f>'2. Bevétel funkció'!H137</f>
        <v>54436515</v>
      </c>
      <c r="F16" s="184">
        <f t="shared" si="0"/>
        <v>1</v>
      </c>
    </row>
    <row r="17" spans="1:6" ht="15.75" customHeight="1">
      <c r="A17" s="175" t="s">
        <v>15</v>
      </c>
      <c r="B17" s="149" t="s">
        <v>16</v>
      </c>
      <c r="C17" s="150">
        <f>'2. Bevétel funkció'!F140</f>
        <v>600000</v>
      </c>
      <c r="D17" s="150">
        <f>'2. Bevétel funkció'!G140</f>
        <v>600000</v>
      </c>
      <c r="E17" s="150">
        <f>'2. Bevétel funkció'!H140</f>
        <v>598146</v>
      </c>
      <c r="F17" s="184">
        <f t="shared" si="0"/>
        <v>0.99691</v>
      </c>
    </row>
    <row r="18" spans="1:6" ht="15.75" customHeight="1">
      <c r="A18" s="175" t="s">
        <v>17</v>
      </c>
      <c r="B18" s="149" t="s">
        <v>18</v>
      </c>
      <c r="C18" s="150">
        <v>0</v>
      </c>
      <c r="D18" s="150">
        <f>'2. Bevétel funkció'!G142</f>
        <v>842595</v>
      </c>
      <c r="E18" s="150">
        <f>'2. Bevétel funkció'!H142</f>
        <v>842624</v>
      </c>
      <c r="F18" s="184">
        <f t="shared" si="0"/>
        <v>1.0000344174840818</v>
      </c>
    </row>
    <row r="19" spans="1:6" ht="15.75" customHeight="1">
      <c r="A19" s="177"/>
      <c r="B19" s="149"/>
      <c r="C19" s="150"/>
      <c r="D19" s="65"/>
      <c r="E19" s="65"/>
      <c r="F19" s="184"/>
    </row>
    <row r="20" spans="1:6" ht="15.75" customHeight="1">
      <c r="A20" s="176" t="s">
        <v>19</v>
      </c>
      <c r="B20" s="86"/>
      <c r="C20" s="108">
        <f>SUM(C21)</f>
        <v>207000000</v>
      </c>
      <c r="D20" s="108">
        <f>SUM(D21)</f>
        <v>209125406</v>
      </c>
      <c r="E20" s="108">
        <f>SUM(E21)</f>
        <v>209125406</v>
      </c>
      <c r="F20" s="192">
        <f>E20/D20</f>
        <v>1</v>
      </c>
    </row>
    <row r="21" spans="1:6" ht="15.75" customHeight="1">
      <c r="A21" s="175" t="s">
        <v>20</v>
      </c>
      <c r="B21" s="149" t="s">
        <v>19</v>
      </c>
      <c r="C21" s="150">
        <f>'2. Bevétel funkció'!F143</f>
        <v>207000000</v>
      </c>
      <c r="D21" s="150">
        <f>'2. Bevétel funkció'!G143</f>
        <v>209125406</v>
      </c>
      <c r="E21" s="150">
        <f>'2. Bevétel funkció'!H143</f>
        <v>209125406</v>
      </c>
      <c r="F21" s="184">
        <f t="shared" si="0"/>
        <v>1</v>
      </c>
    </row>
    <row r="22" spans="1:6" ht="15.75" customHeight="1">
      <c r="A22" s="175"/>
      <c r="B22" s="149"/>
      <c r="C22" s="150"/>
      <c r="D22" s="65"/>
      <c r="E22" s="65"/>
      <c r="F22" s="184"/>
    </row>
    <row r="23" spans="1:6" ht="15.75" customHeight="1" thickBot="1">
      <c r="A23" s="178" t="s">
        <v>21</v>
      </c>
      <c r="B23" s="179"/>
      <c r="C23" s="180">
        <f>SUM(C9+C15+C20)</f>
        <v>568429161</v>
      </c>
      <c r="D23" s="180">
        <f>SUM(D9+D15+D20)</f>
        <v>693545873</v>
      </c>
      <c r="E23" s="180">
        <f>SUM(E9+E15+E20)</f>
        <v>693426383</v>
      </c>
      <c r="F23" s="237">
        <f>E23/D23</f>
        <v>0.9998277114684814</v>
      </c>
    </row>
    <row r="24" spans="1:3" ht="15.75" customHeight="1">
      <c r="A24" s="6"/>
      <c r="B24" s="6"/>
      <c r="C24" s="7"/>
    </row>
    <row r="25" spans="1:3" ht="15.75" customHeight="1" thickBot="1">
      <c r="A25" s="8"/>
      <c r="B25" s="8"/>
      <c r="C25" s="9"/>
    </row>
    <row r="26" spans="1:6" ht="15.75" customHeight="1">
      <c r="A26" s="290" t="s">
        <v>22</v>
      </c>
      <c r="B26" s="291"/>
      <c r="C26" s="181">
        <f>SUM(C27:C31)</f>
        <v>430408162</v>
      </c>
      <c r="D26" s="181">
        <f>SUM(D27:D31)</f>
        <v>569290735</v>
      </c>
      <c r="E26" s="181">
        <f>SUM(E27:E31)</f>
        <v>358758333</v>
      </c>
      <c r="F26" s="236">
        <f>E26/D26</f>
        <v>0.6301847385589369</v>
      </c>
    </row>
    <row r="27" spans="1:6" ht="15.75" customHeight="1">
      <c r="A27" s="175" t="s">
        <v>23</v>
      </c>
      <c r="B27" s="151" t="s">
        <v>24</v>
      </c>
      <c r="C27" s="107">
        <f>'5.kiadás'!G581</f>
        <v>95337404</v>
      </c>
      <c r="D27" s="107">
        <f>'5.kiadás'!H581</f>
        <v>100347538</v>
      </c>
      <c r="E27" s="107">
        <f>'5.kiadás'!I581</f>
        <v>94323829</v>
      </c>
      <c r="F27" s="184">
        <f aca="true" t="shared" si="1" ref="F27:F41">E27/D27</f>
        <v>0.9399715317380283</v>
      </c>
    </row>
    <row r="28" spans="1:6" ht="15.75" customHeight="1">
      <c r="A28" s="175" t="s">
        <v>25</v>
      </c>
      <c r="B28" s="148" t="s">
        <v>26</v>
      </c>
      <c r="C28" s="107">
        <f>'5.kiadás'!G582</f>
        <v>20079658</v>
      </c>
      <c r="D28" s="107">
        <f>'5.kiadás'!H582</f>
        <v>20332747</v>
      </c>
      <c r="E28" s="107">
        <f>'5.kiadás'!I582</f>
        <v>17849626</v>
      </c>
      <c r="F28" s="184">
        <f t="shared" si="1"/>
        <v>0.8778757734997638</v>
      </c>
    </row>
    <row r="29" spans="1:6" ht="15.75" customHeight="1">
      <c r="A29" s="175" t="s">
        <v>27</v>
      </c>
      <c r="B29" s="149" t="s">
        <v>28</v>
      </c>
      <c r="C29" s="107">
        <f>'5.kiadás'!G583</f>
        <v>184527920</v>
      </c>
      <c r="D29" s="107">
        <f>'5.kiadás'!H583</f>
        <v>216724963</v>
      </c>
      <c r="E29" s="107">
        <f>'5.kiadás'!I583</f>
        <v>150764875</v>
      </c>
      <c r="F29" s="184">
        <f t="shared" si="1"/>
        <v>0.6956507128345893</v>
      </c>
    </row>
    <row r="30" spans="1:6" ht="15.75" customHeight="1">
      <c r="A30" s="175" t="s">
        <v>29</v>
      </c>
      <c r="B30" s="151" t="s">
        <v>30</v>
      </c>
      <c r="C30" s="107">
        <f>'5.kiadás'!G584</f>
        <v>6500000</v>
      </c>
      <c r="D30" s="107">
        <f>'5.kiadás'!H584</f>
        <v>6500000</v>
      </c>
      <c r="E30" s="107">
        <f>'5.kiadás'!I584</f>
        <v>4213100</v>
      </c>
      <c r="F30" s="184">
        <f t="shared" si="1"/>
        <v>0.6481692307692307</v>
      </c>
    </row>
    <row r="31" spans="1:6" ht="15.75" customHeight="1">
      <c r="A31" s="175" t="s">
        <v>31</v>
      </c>
      <c r="B31" s="151" t="s">
        <v>32</v>
      </c>
      <c r="C31" s="107">
        <f>'5.kiadás'!G585</f>
        <v>123963180</v>
      </c>
      <c r="D31" s="107">
        <f>'5.kiadás'!H585</f>
        <v>225385487</v>
      </c>
      <c r="E31" s="107">
        <f>'5.kiadás'!I585</f>
        <v>91606903</v>
      </c>
      <c r="F31" s="184">
        <f t="shared" si="1"/>
        <v>0.40644543807738603</v>
      </c>
    </row>
    <row r="32" spans="1:6" ht="15.75" customHeight="1">
      <c r="A32" s="175"/>
      <c r="B32" s="151" t="s">
        <v>431</v>
      </c>
      <c r="C32" s="107"/>
      <c r="D32" s="65">
        <v>131384530</v>
      </c>
      <c r="E32" s="65"/>
      <c r="F32" s="184">
        <f t="shared" si="1"/>
        <v>0</v>
      </c>
    </row>
    <row r="33" spans="1:6" ht="15.75" customHeight="1">
      <c r="A33" s="182" t="s">
        <v>33</v>
      </c>
      <c r="B33" s="152"/>
      <c r="C33" s="108">
        <f>SUM(C34:C36)</f>
        <v>130713000</v>
      </c>
      <c r="D33" s="108">
        <f>SUM(D34:D36)</f>
        <v>118492319</v>
      </c>
      <c r="E33" s="108">
        <f>SUM(E34:E36)</f>
        <v>105073254</v>
      </c>
      <c r="F33" s="240">
        <f t="shared" si="1"/>
        <v>0.8867516045491523</v>
      </c>
    </row>
    <row r="34" spans="1:6" ht="15.75" customHeight="1">
      <c r="A34" s="183" t="s">
        <v>34</v>
      </c>
      <c r="B34" s="151" t="s">
        <v>35</v>
      </c>
      <c r="C34" s="150">
        <f>'5.kiadás'!G586</f>
        <v>60148000</v>
      </c>
      <c r="D34" s="150">
        <f>'5.kiadás'!H586</f>
        <v>54347348</v>
      </c>
      <c r="E34" s="150">
        <f>'5.kiadás'!I586</f>
        <v>49315836</v>
      </c>
      <c r="F34" s="184">
        <f t="shared" si="1"/>
        <v>0.9074193647866682</v>
      </c>
    </row>
    <row r="35" spans="1:6" ht="15.75" customHeight="1">
      <c r="A35" s="183" t="s">
        <v>36</v>
      </c>
      <c r="B35" s="151" t="s">
        <v>37</v>
      </c>
      <c r="C35" s="150">
        <f>'5.kiadás'!G587</f>
        <v>68500000</v>
      </c>
      <c r="D35" s="150">
        <f>'5.kiadás'!H587</f>
        <v>62079971</v>
      </c>
      <c r="E35" s="150">
        <f>'5.kiadás'!I587</f>
        <v>55757418</v>
      </c>
      <c r="F35" s="184">
        <f t="shared" si="1"/>
        <v>0.8981547043570622</v>
      </c>
    </row>
    <row r="36" spans="1:6" ht="15.75" customHeight="1">
      <c r="A36" s="175" t="s">
        <v>38</v>
      </c>
      <c r="B36" s="148" t="s">
        <v>39</v>
      </c>
      <c r="C36" s="150">
        <f>'5.kiadás'!G588</f>
        <v>2065000</v>
      </c>
      <c r="D36" s="150">
        <f>'5.kiadás'!H588</f>
        <v>2065000</v>
      </c>
      <c r="E36" s="150">
        <f>'5.kiadás'!I588</f>
        <v>0</v>
      </c>
      <c r="F36" s="184">
        <f t="shared" si="1"/>
        <v>0</v>
      </c>
    </row>
    <row r="37" spans="1:6" ht="15.75" customHeight="1">
      <c r="A37" s="175"/>
      <c r="B37" s="148"/>
      <c r="C37" s="150"/>
      <c r="D37" s="65"/>
      <c r="E37" s="65"/>
      <c r="F37" s="184"/>
    </row>
    <row r="38" spans="1:6" ht="15.75" customHeight="1">
      <c r="A38" s="176" t="s">
        <v>40</v>
      </c>
      <c r="B38" s="114"/>
      <c r="C38" s="108">
        <f>SUM(C39)</f>
        <v>7307999</v>
      </c>
      <c r="D38" s="108">
        <f>SUM(D39)</f>
        <v>5762819</v>
      </c>
      <c r="E38" s="108">
        <f>SUM(E39)</f>
        <v>5762819</v>
      </c>
      <c r="F38" s="240">
        <f t="shared" si="1"/>
        <v>1</v>
      </c>
    </row>
    <row r="39" spans="1:6" ht="15.75" customHeight="1">
      <c r="A39" s="175" t="s">
        <v>41</v>
      </c>
      <c r="B39" s="148" t="s">
        <v>40</v>
      </c>
      <c r="C39" s="150">
        <f>'5.kiadás'!G589</f>
        <v>7307999</v>
      </c>
      <c r="D39" s="150">
        <f>'5.kiadás'!H589</f>
        <v>5762819</v>
      </c>
      <c r="E39" s="150">
        <f>'5.kiadás'!I589</f>
        <v>5762819</v>
      </c>
      <c r="F39" s="184">
        <f t="shared" si="1"/>
        <v>1</v>
      </c>
    </row>
    <row r="40" spans="1:6" ht="15.75" customHeight="1">
      <c r="A40" s="175"/>
      <c r="B40" s="148"/>
      <c r="C40" s="150"/>
      <c r="D40" s="65"/>
      <c r="E40" s="65"/>
      <c r="F40" s="184"/>
    </row>
    <row r="41" spans="1:6" ht="15.75" customHeight="1" thickBot="1">
      <c r="A41" s="178" t="s">
        <v>42</v>
      </c>
      <c r="B41" s="179"/>
      <c r="C41" s="180">
        <f>SUM(C33,C26,C38)</f>
        <v>568429161</v>
      </c>
      <c r="D41" s="180">
        <f>SUM(D33,D26,D38)</f>
        <v>693545873</v>
      </c>
      <c r="E41" s="180">
        <f>SUM(E33,E26,E38)</f>
        <v>469594406</v>
      </c>
      <c r="F41" s="241">
        <f t="shared" si="1"/>
        <v>0.6770920630941452</v>
      </c>
    </row>
  </sheetData>
  <sheetProtection selectLockedCells="1" selectUnlockedCells="1"/>
  <mergeCells count="11">
    <mergeCell ref="A3:F3"/>
    <mergeCell ref="A4:F4"/>
    <mergeCell ref="E7:E8"/>
    <mergeCell ref="F7:F8"/>
    <mergeCell ref="A1:F1"/>
    <mergeCell ref="A9:B9"/>
    <mergeCell ref="A26:B26"/>
    <mergeCell ref="B2:C2"/>
    <mergeCell ref="A7:B8"/>
    <mergeCell ref="C7:C8"/>
    <mergeCell ref="D7:D8"/>
  </mergeCells>
  <printOptions headings="1"/>
  <pageMargins left="0.25" right="0.25" top="0.75" bottom="0.75" header="0.5118055555555555" footer="0.5118055555555555"/>
  <pageSetup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="60" workbookViewId="0" topLeftCell="A1">
      <selection activeCell="C7" sqref="C7"/>
    </sheetView>
  </sheetViews>
  <sheetFormatPr defaultColWidth="9.140625" defaultRowHeight="12.75"/>
  <cols>
    <col min="1" max="1" width="57.140625" style="1" customWidth="1"/>
    <col min="2" max="2" width="15.7109375" style="1" customWidth="1"/>
    <col min="3" max="3" width="15.8515625" style="1" customWidth="1"/>
    <col min="4" max="16384" width="9.140625" style="1" customWidth="1"/>
  </cols>
  <sheetData>
    <row r="1" spans="1:5" ht="15.75">
      <c r="A1" s="365" t="s">
        <v>478</v>
      </c>
      <c r="B1" s="365"/>
      <c r="C1" s="365"/>
      <c r="D1" s="248"/>
      <c r="E1" s="248"/>
    </row>
    <row r="2" spans="1:4" ht="15.75">
      <c r="A2" s="371"/>
      <c r="B2" s="371"/>
      <c r="C2" s="371"/>
      <c r="D2" s="371"/>
    </row>
    <row r="3" spans="1:5" ht="15.75">
      <c r="A3" s="366" t="s">
        <v>0</v>
      </c>
      <c r="B3" s="366"/>
      <c r="C3" s="366"/>
      <c r="D3" s="249"/>
      <c r="E3" s="249"/>
    </row>
    <row r="5" spans="1:5" ht="15.75">
      <c r="A5" s="372" t="s">
        <v>543</v>
      </c>
      <c r="B5" s="372"/>
      <c r="C5" s="372"/>
      <c r="D5" s="250"/>
      <c r="E5" s="250"/>
    </row>
    <row r="6" spans="1:5" ht="15.75">
      <c r="A6" s="372" t="s">
        <v>544</v>
      </c>
      <c r="B6" s="372"/>
      <c r="C6" s="372"/>
      <c r="D6" s="250"/>
      <c r="E6" s="250"/>
    </row>
    <row r="7" spans="1:5" ht="15.75">
      <c r="A7" s="247"/>
      <c r="B7" s="247"/>
      <c r="C7" s="247"/>
      <c r="D7" s="250"/>
      <c r="E7" s="250"/>
    </row>
    <row r="8" spans="3:7" ht="16.5" thickBot="1">
      <c r="C8" s="26" t="s">
        <v>328</v>
      </c>
      <c r="D8" s="13"/>
      <c r="E8" s="13"/>
      <c r="F8" s="13"/>
      <c r="G8" s="13"/>
    </row>
    <row r="9" spans="1:7" ht="15.75">
      <c r="A9" s="242" t="s">
        <v>1</v>
      </c>
      <c r="B9" s="243" t="s">
        <v>479</v>
      </c>
      <c r="C9" s="267" t="s">
        <v>480</v>
      </c>
      <c r="D9" s="244"/>
      <c r="E9" s="244"/>
      <c r="F9" s="245"/>
      <c r="G9" s="246"/>
    </row>
    <row r="10" spans="1:7" ht="15.75">
      <c r="A10" s="255" t="s">
        <v>481</v>
      </c>
      <c r="B10" s="252">
        <v>8287</v>
      </c>
      <c r="C10" s="256">
        <v>0</v>
      </c>
      <c r="D10" s="13"/>
      <c r="E10" s="13"/>
      <c r="F10" s="13"/>
      <c r="G10" s="13"/>
    </row>
    <row r="11" spans="1:3" ht="15.75">
      <c r="A11" s="255" t="s">
        <v>482</v>
      </c>
      <c r="B11" s="252">
        <v>641973</v>
      </c>
      <c r="C11" s="256">
        <v>311973</v>
      </c>
    </row>
    <row r="12" spans="1:3" ht="15.75">
      <c r="A12" s="257" t="s">
        <v>483</v>
      </c>
      <c r="B12" s="254">
        <v>650260</v>
      </c>
      <c r="C12" s="258">
        <v>311973</v>
      </c>
    </row>
    <row r="13" spans="1:3" ht="15.75">
      <c r="A13" s="255" t="s">
        <v>484</v>
      </c>
      <c r="B13" s="252">
        <v>2514352463</v>
      </c>
      <c r="C13" s="256">
        <v>2496935883</v>
      </c>
    </row>
    <row r="14" spans="1:3" ht="15.75">
      <c r="A14" s="255" t="s">
        <v>485</v>
      </c>
      <c r="B14" s="252">
        <v>49023787</v>
      </c>
      <c r="C14" s="256">
        <v>44768674</v>
      </c>
    </row>
    <row r="15" spans="1:3" ht="15.75">
      <c r="A15" s="255" t="s">
        <v>486</v>
      </c>
      <c r="B15" s="252">
        <v>16719864</v>
      </c>
      <c r="C15" s="256">
        <v>25132691</v>
      </c>
    </row>
    <row r="16" spans="1:3" ht="15.75">
      <c r="A16" s="257" t="s">
        <v>487</v>
      </c>
      <c r="B16" s="254">
        <v>2580096114</v>
      </c>
      <c r="C16" s="258">
        <v>2566837248</v>
      </c>
    </row>
    <row r="17" spans="1:3" ht="15.75">
      <c r="A17" s="255" t="s">
        <v>488</v>
      </c>
      <c r="B17" s="252">
        <v>49403542</v>
      </c>
      <c r="C17" s="256">
        <v>50051542</v>
      </c>
    </row>
    <row r="18" spans="1:3" ht="31.5">
      <c r="A18" s="255" t="s">
        <v>489</v>
      </c>
      <c r="B18" s="252">
        <v>0</v>
      </c>
      <c r="C18" s="256">
        <v>50051542</v>
      </c>
    </row>
    <row r="19" spans="1:3" ht="15.75">
      <c r="A19" s="255" t="s">
        <v>490</v>
      </c>
      <c r="B19" s="252">
        <v>49403542</v>
      </c>
      <c r="C19" s="256">
        <v>0</v>
      </c>
    </row>
    <row r="20" spans="1:3" ht="31.5">
      <c r="A20" s="257" t="s">
        <v>491</v>
      </c>
      <c r="B20" s="254">
        <v>49403542</v>
      </c>
      <c r="C20" s="258">
        <v>50051542</v>
      </c>
    </row>
    <row r="21" spans="1:3" ht="31.5">
      <c r="A21" s="257" t="s">
        <v>492</v>
      </c>
      <c r="B21" s="254">
        <v>2630149916</v>
      </c>
      <c r="C21" s="258">
        <v>2617200763</v>
      </c>
    </row>
    <row r="22" spans="1:3" ht="15.75">
      <c r="A22" s="255" t="s">
        <v>493</v>
      </c>
      <c r="B22" s="252">
        <v>531557</v>
      </c>
      <c r="C22" s="256">
        <v>1200368</v>
      </c>
    </row>
    <row r="23" spans="1:3" ht="15.75">
      <c r="A23" s="257" t="s">
        <v>494</v>
      </c>
      <c r="B23" s="254">
        <v>531557</v>
      </c>
      <c r="C23" s="258">
        <v>1200368</v>
      </c>
    </row>
    <row r="24" spans="1:3" ht="31.5">
      <c r="A24" s="257" t="s">
        <v>495</v>
      </c>
      <c r="B24" s="254">
        <v>531557</v>
      </c>
      <c r="C24" s="258">
        <v>1200368</v>
      </c>
    </row>
    <row r="25" spans="1:3" ht="15.75">
      <c r="A25" s="255" t="s">
        <v>496</v>
      </c>
      <c r="B25" s="252">
        <v>442110</v>
      </c>
      <c r="C25" s="256">
        <v>828340</v>
      </c>
    </row>
    <row r="26" spans="1:3" ht="31.5">
      <c r="A26" s="257" t="s">
        <v>497</v>
      </c>
      <c r="B26" s="254">
        <v>442110</v>
      </c>
      <c r="C26" s="258">
        <v>828340</v>
      </c>
    </row>
    <row r="27" spans="1:3" ht="15.75">
      <c r="A27" s="255" t="s">
        <v>498</v>
      </c>
      <c r="B27" s="252">
        <v>86866796</v>
      </c>
      <c r="C27" s="256">
        <v>106611894</v>
      </c>
    </row>
    <row r="28" spans="1:3" ht="15.75">
      <c r="A28" s="257" t="s">
        <v>499</v>
      </c>
      <c r="B28" s="254">
        <v>86866796</v>
      </c>
      <c r="C28" s="258">
        <v>106611894</v>
      </c>
    </row>
    <row r="29" spans="1:3" ht="15.75">
      <c r="A29" s="257" t="s">
        <v>500</v>
      </c>
      <c r="B29" s="254">
        <v>87308906</v>
      </c>
      <c r="C29" s="258">
        <v>107440234</v>
      </c>
    </row>
    <row r="30" spans="1:3" ht="47.25">
      <c r="A30" s="255" t="s">
        <v>501</v>
      </c>
      <c r="B30" s="252">
        <v>0</v>
      </c>
      <c r="C30" s="256">
        <v>152445</v>
      </c>
    </row>
    <row r="31" spans="1:3" ht="31.5">
      <c r="A31" s="255" t="s">
        <v>502</v>
      </c>
      <c r="B31" s="252">
        <v>10869248</v>
      </c>
      <c r="C31" s="256">
        <v>16559412</v>
      </c>
    </row>
    <row r="32" spans="1:3" ht="31.5">
      <c r="A32" s="255" t="s">
        <v>503</v>
      </c>
      <c r="B32" s="252">
        <v>6460770</v>
      </c>
      <c r="C32" s="256">
        <v>9883176</v>
      </c>
    </row>
    <row r="33" spans="1:3" ht="31.5">
      <c r="A33" s="255" t="s">
        <v>504</v>
      </c>
      <c r="B33" s="252">
        <v>3112114</v>
      </c>
      <c r="C33" s="256">
        <v>5784935</v>
      </c>
    </row>
    <row r="34" spans="1:3" ht="31.5">
      <c r="A34" s="255" t="s">
        <v>505</v>
      </c>
      <c r="B34" s="252">
        <v>1296364</v>
      </c>
      <c r="C34" s="256">
        <v>891301</v>
      </c>
    </row>
    <row r="35" spans="1:3" ht="31.5">
      <c r="A35" s="255" t="s">
        <v>506</v>
      </c>
      <c r="B35" s="252">
        <v>1135218</v>
      </c>
      <c r="C35" s="256">
        <v>2656596</v>
      </c>
    </row>
    <row r="36" spans="1:3" ht="47.25">
      <c r="A36" s="255" t="s">
        <v>507</v>
      </c>
      <c r="B36" s="252">
        <v>874058</v>
      </c>
      <c r="C36" s="256">
        <v>2078325</v>
      </c>
    </row>
    <row r="37" spans="1:3" ht="31.5">
      <c r="A37" s="255" t="s">
        <v>508</v>
      </c>
      <c r="B37" s="252">
        <v>6600</v>
      </c>
      <c r="C37" s="256">
        <v>0</v>
      </c>
    </row>
    <row r="38" spans="1:3" ht="31.5">
      <c r="A38" s="255" t="s">
        <v>509</v>
      </c>
      <c r="B38" s="252">
        <v>234915</v>
      </c>
      <c r="C38" s="256">
        <v>558626</v>
      </c>
    </row>
    <row r="39" spans="1:3" ht="31.5">
      <c r="A39" s="255" t="s">
        <v>510</v>
      </c>
      <c r="B39" s="252">
        <v>19645</v>
      </c>
      <c r="C39" s="256">
        <v>19645</v>
      </c>
    </row>
    <row r="40" spans="1:3" ht="31.5">
      <c r="A40" s="255" t="s">
        <v>511</v>
      </c>
      <c r="B40" s="252">
        <v>0</v>
      </c>
      <c r="C40" s="256">
        <v>5286</v>
      </c>
    </row>
    <row r="41" spans="1:3" ht="31.5">
      <c r="A41" s="255" t="s">
        <v>512</v>
      </c>
      <c r="B41" s="252">
        <v>0</v>
      </c>
      <c r="C41" s="256">
        <v>5286</v>
      </c>
    </row>
    <row r="42" spans="1:3" ht="31.5">
      <c r="A42" s="255" t="s">
        <v>513</v>
      </c>
      <c r="B42" s="252">
        <v>1114812</v>
      </c>
      <c r="C42" s="256">
        <v>1028012</v>
      </c>
    </row>
    <row r="43" spans="1:3" ht="47.25">
      <c r="A43" s="255" t="s">
        <v>514</v>
      </c>
      <c r="B43" s="252">
        <v>1114812</v>
      </c>
      <c r="C43" s="256">
        <v>1028012</v>
      </c>
    </row>
    <row r="44" spans="1:3" ht="31.5">
      <c r="A44" s="257" t="s">
        <v>515</v>
      </c>
      <c r="B44" s="254">
        <v>13119278</v>
      </c>
      <c r="C44" s="258">
        <v>20401751</v>
      </c>
    </row>
    <row r="45" spans="1:3" ht="15.75">
      <c r="A45" s="255" t="s">
        <v>516</v>
      </c>
      <c r="B45" s="252">
        <v>90000</v>
      </c>
      <c r="C45" s="256">
        <v>0</v>
      </c>
    </row>
    <row r="46" spans="1:3" ht="21.75" customHeight="1">
      <c r="A46" s="255" t="s">
        <v>517</v>
      </c>
      <c r="B46" s="252">
        <v>90000</v>
      </c>
      <c r="C46" s="256">
        <v>0</v>
      </c>
    </row>
    <row r="47" spans="1:3" ht="15.75">
      <c r="A47" s="255" t="s">
        <v>518</v>
      </c>
      <c r="B47" s="252">
        <v>100000</v>
      </c>
      <c r="C47" s="256">
        <v>100000</v>
      </c>
    </row>
    <row r="48" spans="1:3" ht="31.5">
      <c r="A48" s="255" t="s">
        <v>519</v>
      </c>
      <c r="B48" s="252">
        <v>1683</v>
      </c>
      <c r="C48" s="256">
        <v>0</v>
      </c>
    </row>
    <row r="49" spans="1:3" ht="31.5">
      <c r="A49" s="257" t="s">
        <v>520</v>
      </c>
      <c r="B49" s="254">
        <v>191683</v>
      </c>
      <c r="C49" s="258">
        <v>100000</v>
      </c>
    </row>
    <row r="50" spans="1:3" ht="15.75">
      <c r="A50" s="257" t="s">
        <v>521</v>
      </c>
      <c r="B50" s="254">
        <v>13310961</v>
      </c>
      <c r="C50" s="258">
        <v>20501751</v>
      </c>
    </row>
    <row r="51" spans="1:3" ht="15.75">
      <c r="A51" s="257" t="s">
        <v>522</v>
      </c>
      <c r="B51" s="254">
        <v>2731301340</v>
      </c>
      <c r="C51" s="258">
        <v>2746343116</v>
      </c>
    </row>
    <row r="52" spans="1:3" ht="15.75">
      <c r="A52" s="255" t="s">
        <v>523</v>
      </c>
      <c r="B52" s="252">
        <v>3055340369</v>
      </c>
      <c r="C52" s="256">
        <v>3055340369</v>
      </c>
    </row>
    <row r="53" spans="1:3" ht="15.75">
      <c r="A53" s="255" t="s">
        <v>524</v>
      </c>
      <c r="B53" s="252">
        <v>-61422506</v>
      </c>
      <c r="C53" s="256">
        <v>-61422506</v>
      </c>
    </row>
    <row r="54" spans="1:3" ht="15.75">
      <c r="A54" s="255" t="s">
        <v>525</v>
      </c>
      <c r="B54" s="252">
        <v>73733644</v>
      </c>
      <c r="C54" s="256">
        <v>73733644</v>
      </c>
    </row>
    <row r="55" spans="1:3" ht="15.75">
      <c r="A55" s="255" t="s">
        <v>526</v>
      </c>
      <c r="B55" s="252">
        <v>-374928745</v>
      </c>
      <c r="C55" s="256">
        <v>-354503360</v>
      </c>
    </row>
    <row r="56" spans="1:3" ht="15.75">
      <c r="A56" s="255" t="s">
        <v>527</v>
      </c>
      <c r="B56" s="252">
        <v>20425385</v>
      </c>
      <c r="C56" s="256">
        <v>14610346</v>
      </c>
    </row>
    <row r="57" spans="1:3" ht="15.75">
      <c r="A57" s="257" t="s">
        <v>528</v>
      </c>
      <c r="B57" s="254">
        <v>2713148147</v>
      </c>
      <c r="C57" s="258">
        <v>2727758493</v>
      </c>
    </row>
    <row r="58" spans="1:3" ht="31.5">
      <c r="A58" s="255" t="s">
        <v>529</v>
      </c>
      <c r="B58" s="252">
        <v>546157</v>
      </c>
      <c r="C58" s="256">
        <v>81072</v>
      </c>
    </row>
    <row r="59" spans="1:3" ht="31.5">
      <c r="A59" s="255" t="s">
        <v>530</v>
      </c>
      <c r="B59" s="252">
        <v>0</v>
      </c>
      <c r="C59" s="256">
        <v>83500</v>
      </c>
    </row>
    <row r="60" spans="1:3" ht="31.5">
      <c r="A60" s="257" t="s">
        <v>531</v>
      </c>
      <c r="B60" s="254">
        <v>546157</v>
      </c>
      <c r="C60" s="258">
        <v>164572</v>
      </c>
    </row>
    <row r="61" spans="1:3" ht="31.5">
      <c r="A61" s="255" t="s">
        <v>532</v>
      </c>
      <c r="B61" s="252">
        <v>4307999</v>
      </c>
      <c r="C61" s="256">
        <v>3770288</v>
      </c>
    </row>
    <row r="62" spans="1:3" ht="47.25">
      <c r="A62" s="255" t="s">
        <v>533</v>
      </c>
      <c r="B62" s="252">
        <v>4307999</v>
      </c>
      <c r="C62" s="256">
        <v>3770288</v>
      </c>
    </row>
    <row r="63" spans="1:3" ht="31.5">
      <c r="A63" s="257" t="s">
        <v>534</v>
      </c>
      <c r="B63" s="254">
        <v>4307999</v>
      </c>
      <c r="C63" s="258">
        <v>3770288</v>
      </c>
    </row>
    <row r="64" spans="1:3" ht="15.75">
      <c r="A64" s="255" t="s">
        <v>535</v>
      </c>
      <c r="B64" s="252">
        <v>326898</v>
      </c>
      <c r="C64" s="256">
        <v>95069</v>
      </c>
    </row>
    <row r="65" spans="1:3" ht="15.75">
      <c r="A65" s="255" t="s">
        <v>536</v>
      </c>
      <c r="B65" s="252">
        <v>42300</v>
      </c>
      <c r="C65" s="256">
        <v>63795</v>
      </c>
    </row>
    <row r="66" spans="1:3" ht="31.5">
      <c r="A66" s="255" t="s">
        <v>537</v>
      </c>
      <c r="B66" s="252">
        <v>6481965</v>
      </c>
      <c r="C66" s="256">
        <v>6800265</v>
      </c>
    </row>
    <row r="67" spans="1:3" ht="31.5">
      <c r="A67" s="257" t="s">
        <v>538</v>
      </c>
      <c r="B67" s="254">
        <v>6851163</v>
      </c>
      <c r="C67" s="258">
        <v>6959129</v>
      </c>
    </row>
    <row r="68" spans="1:3" ht="15.75">
      <c r="A68" s="257" t="s">
        <v>539</v>
      </c>
      <c r="B68" s="254">
        <v>11705319</v>
      </c>
      <c r="C68" s="258">
        <v>10893989</v>
      </c>
    </row>
    <row r="69" spans="1:3" ht="15.75">
      <c r="A69" s="255" t="s">
        <v>540</v>
      </c>
      <c r="B69" s="252">
        <v>6447874</v>
      </c>
      <c r="C69" s="256">
        <v>7690634</v>
      </c>
    </row>
    <row r="70" spans="1:3" ht="31.5">
      <c r="A70" s="257" t="s">
        <v>541</v>
      </c>
      <c r="B70" s="254">
        <v>6447874</v>
      </c>
      <c r="C70" s="258">
        <v>7690634</v>
      </c>
    </row>
    <row r="71" spans="1:3" ht="16.5" thickBot="1">
      <c r="A71" s="259" t="s">
        <v>542</v>
      </c>
      <c r="B71" s="260">
        <v>2731301340</v>
      </c>
      <c r="C71" s="261">
        <v>2746343116</v>
      </c>
    </row>
  </sheetData>
  <sheetProtection/>
  <mergeCells count="5">
    <mergeCell ref="A2:D2"/>
    <mergeCell ref="A1:C1"/>
    <mergeCell ref="A3:C3"/>
    <mergeCell ref="A5:C5"/>
    <mergeCell ref="A6:C6"/>
  </mergeCells>
  <printOptions headings="1"/>
  <pageMargins left="0.7" right="0.7" top="0.75" bottom="0.75" header="0.3" footer="0.3"/>
  <pageSetup orientation="portrait" paperSize="9" scale="80" r:id="rId1"/>
  <rowBreaks count="1" manualBreakCount="1">
    <brk id="36" max="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60" zoomScalePageLayoutView="0" workbookViewId="0" topLeftCell="A1">
      <selection activeCell="G12" sqref="G12"/>
    </sheetView>
  </sheetViews>
  <sheetFormatPr defaultColWidth="14.00390625" defaultRowHeight="12.75"/>
  <cols>
    <col min="1" max="1" width="46.421875" style="1" bestFit="1" customWidth="1"/>
    <col min="2" max="2" width="14.140625" style="1" customWidth="1"/>
    <col min="3" max="16384" width="14.00390625" style="1" customWidth="1"/>
  </cols>
  <sheetData>
    <row r="1" spans="1:4" ht="15.75">
      <c r="A1" s="374" t="s">
        <v>547</v>
      </c>
      <c r="B1" s="374"/>
      <c r="C1" s="250"/>
      <c r="D1" s="250"/>
    </row>
    <row r="2" spans="1:4" ht="15.75">
      <c r="A2" s="373"/>
      <c r="B2" s="373"/>
      <c r="C2" s="373"/>
      <c r="D2" s="373"/>
    </row>
    <row r="3" spans="1:4" ht="15.75">
      <c r="A3" s="375" t="s">
        <v>545</v>
      </c>
      <c r="B3" s="375"/>
      <c r="C3" s="265"/>
      <c r="D3" s="265"/>
    </row>
    <row r="4" spans="1:4" ht="15.75">
      <c r="A4" s="262"/>
      <c r="B4" s="262"/>
      <c r="D4" s="263"/>
    </row>
    <row r="5" spans="1:4" ht="15.75">
      <c r="A5" s="375" t="s">
        <v>546</v>
      </c>
      <c r="B5" s="375"/>
      <c r="C5" s="265"/>
      <c r="D5" s="265"/>
    </row>
    <row r="6" spans="1:4" ht="15.75">
      <c r="A6" s="376" t="s">
        <v>548</v>
      </c>
      <c r="B6" s="376"/>
      <c r="C6" s="266"/>
      <c r="D6" s="266"/>
    </row>
    <row r="8" ht="16.5" thickBot="1">
      <c r="B8" s="26" t="s">
        <v>328</v>
      </c>
    </row>
    <row r="9" spans="1:2" ht="15.75">
      <c r="A9" s="242" t="s">
        <v>1</v>
      </c>
      <c r="B9" s="267" t="s">
        <v>587</v>
      </c>
    </row>
    <row r="10" spans="1:2" ht="15.75">
      <c r="A10" s="255" t="s">
        <v>578</v>
      </c>
      <c r="B10" s="256">
        <v>484300977</v>
      </c>
    </row>
    <row r="11" spans="1:2" ht="15.75">
      <c r="A11" s="255" t="s">
        <v>579</v>
      </c>
      <c r="B11" s="256">
        <v>463831587</v>
      </c>
    </row>
    <row r="12" spans="1:2" ht="39" customHeight="1">
      <c r="A12" s="257" t="s">
        <v>580</v>
      </c>
      <c r="B12" s="258">
        <v>20469390</v>
      </c>
    </row>
    <row r="13" spans="1:2" ht="15.75">
      <c r="A13" s="255" t="s">
        <v>581</v>
      </c>
      <c r="B13" s="256">
        <v>209125406</v>
      </c>
    </row>
    <row r="14" spans="1:2" ht="15.75">
      <c r="A14" s="255" t="s">
        <v>582</v>
      </c>
      <c r="B14" s="256">
        <v>5762819</v>
      </c>
    </row>
    <row r="15" spans="1:2" ht="31.5">
      <c r="A15" s="257" t="s">
        <v>583</v>
      </c>
      <c r="B15" s="258">
        <v>203362587</v>
      </c>
    </row>
    <row r="16" spans="1:2" ht="31.5">
      <c r="A16" s="257" t="s">
        <v>584</v>
      </c>
      <c r="B16" s="258">
        <v>223831977</v>
      </c>
    </row>
    <row r="17" spans="1:2" ht="21.75" customHeight="1">
      <c r="A17" s="257" t="s">
        <v>585</v>
      </c>
      <c r="B17" s="258">
        <v>223831977</v>
      </c>
    </row>
    <row r="18" spans="1:2" ht="36.75" customHeight="1" thickBot="1">
      <c r="A18" s="259" t="s">
        <v>586</v>
      </c>
      <c r="B18" s="261">
        <v>223831977</v>
      </c>
    </row>
  </sheetData>
  <sheetProtection/>
  <mergeCells count="5">
    <mergeCell ref="A2:D2"/>
    <mergeCell ref="A1:B1"/>
    <mergeCell ref="A3:B3"/>
    <mergeCell ref="A6:B6"/>
    <mergeCell ref="A5:B5"/>
  </mergeCells>
  <printOptions headings="1"/>
  <pageMargins left="0.7" right="0.7" top="0.75" bottom="0.75" header="0.3" footer="0.3"/>
  <pageSetup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workbookViewId="0" topLeftCell="A1">
      <selection activeCell="G8" sqref="G8"/>
    </sheetView>
  </sheetViews>
  <sheetFormatPr defaultColWidth="9.140625" defaultRowHeight="12.75"/>
  <cols>
    <col min="1" max="1" width="43.8515625" style="0" customWidth="1"/>
    <col min="2" max="2" width="21.00390625" style="0" customWidth="1"/>
    <col min="3" max="3" width="22.28125" style="0" customWidth="1"/>
  </cols>
  <sheetData>
    <row r="1" spans="1:6" ht="15.75">
      <c r="A1" s="374" t="s">
        <v>577</v>
      </c>
      <c r="B1" s="374"/>
      <c r="C1" s="374"/>
      <c r="D1" s="250"/>
      <c r="E1" s="250"/>
      <c r="F1" s="250"/>
    </row>
    <row r="2" spans="1:6" ht="15.75">
      <c r="A2" s="374"/>
      <c r="B2" s="374"/>
      <c r="C2" s="374"/>
      <c r="D2" s="374"/>
      <c r="E2" s="374"/>
      <c r="F2" s="374"/>
    </row>
    <row r="3" spans="1:6" ht="15.75">
      <c r="A3" s="375" t="s">
        <v>545</v>
      </c>
      <c r="B3" s="375"/>
      <c r="C3" s="375"/>
      <c r="D3" s="265"/>
      <c r="E3" s="265"/>
      <c r="F3" s="265"/>
    </row>
    <row r="4" spans="1:6" ht="15.75">
      <c r="A4" s="375" t="s">
        <v>576</v>
      </c>
      <c r="B4" s="375"/>
      <c r="C4" s="375"/>
      <c r="D4" s="265"/>
      <c r="E4" s="265"/>
      <c r="F4" s="265"/>
    </row>
    <row r="5" spans="1:6" ht="15.75">
      <c r="A5" s="376" t="s">
        <v>548</v>
      </c>
      <c r="B5" s="376"/>
      <c r="C5" s="376"/>
      <c r="D5" s="266"/>
      <c r="E5" s="266"/>
      <c r="F5" s="266"/>
    </row>
    <row r="6" spans="1:6" ht="16.5" thickBot="1">
      <c r="A6" s="266"/>
      <c r="B6" s="264"/>
      <c r="C6" s="268" t="s">
        <v>328</v>
      </c>
      <c r="D6" s="264"/>
      <c r="E6" s="264"/>
      <c r="F6" s="264"/>
    </row>
    <row r="7" spans="1:3" ht="15.75">
      <c r="A7" s="242" t="s">
        <v>1</v>
      </c>
      <c r="B7" s="243" t="s">
        <v>479</v>
      </c>
      <c r="C7" s="267" t="s">
        <v>480</v>
      </c>
    </row>
    <row r="8" spans="1:3" ht="15.75">
      <c r="A8" s="255" t="s">
        <v>549</v>
      </c>
      <c r="B8" s="252">
        <v>141632023</v>
      </c>
      <c r="C8" s="256">
        <v>139310704</v>
      </c>
    </row>
    <row r="9" spans="1:3" ht="31.5">
      <c r="A9" s="255" t="s">
        <v>550</v>
      </c>
      <c r="B9" s="252">
        <v>114498878</v>
      </c>
      <c r="C9" s="256">
        <v>104612523</v>
      </c>
    </row>
    <row r="10" spans="1:3" ht="31.5">
      <c r="A10" s="255" t="s">
        <v>551</v>
      </c>
      <c r="B10" s="252">
        <v>6600</v>
      </c>
      <c r="C10" s="256">
        <v>134820</v>
      </c>
    </row>
    <row r="11" spans="1:3" ht="31.5">
      <c r="A11" s="257" t="s">
        <v>552</v>
      </c>
      <c r="B11" s="254">
        <v>256137501</v>
      </c>
      <c r="C11" s="258">
        <v>244058047</v>
      </c>
    </row>
    <row r="12" spans="1:3" ht="31.5">
      <c r="A12" s="255" t="s">
        <v>553</v>
      </c>
      <c r="B12" s="252">
        <v>129148997</v>
      </c>
      <c r="C12" s="256">
        <v>120711281</v>
      </c>
    </row>
    <row r="13" spans="1:3" ht="31.5">
      <c r="A13" s="255" t="s">
        <v>554</v>
      </c>
      <c r="B13" s="252">
        <v>14476455</v>
      </c>
      <c r="C13" s="256">
        <v>12741429</v>
      </c>
    </row>
    <row r="14" spans="1:3" ht="31.5">
      <c r="A14" s="255" t="s">
        <v>555</v>
      </c>
      <c r="B14" s="252">
        <v>27048738</v>
      </c>
      <c r="C14" s="256">
        <v>52299367</v>
      </c>
    </row>
    <row r="15" spans="1:3" ht="31.5">
      <c r="A15" s="255" t="s">
        <v>556</v>
      </c>
      <c r="B15" s="252">
        <v>7178908</v>
      </c>
      <c r="C15" s="256">
        <v>22537844</v>
      </c>
    </row>
    <row r="16" spans="1:3" ht="31.5">
      <c r="A16" s="257" t="s">
        <v>557</v>
      </c>
      <c r="B16" s="254">
        <v>177853098</v>
      </c>
      <c r="C16" s="258">
        <v>208289921</v>
      </c>
    </row>
    <row r="17" spans="1:3" ht="15.75">
      <c r="A17" s="255" t="s">
        <v>558</v>
      </c>
      <c r="B17" s="252">
        <v>23471650</v>
      </c>
      <c r="C17" s="256">
        <v>19697063</v>
      </c>
    </row>
    <row r="18" spans="1:3" ht="15.75">
      <c r="A18" s="255" t="s">
        <v>559</v>
      </c>
      <c r="B18" s="252">
        <v>69265634</v>
      </c>
      <c r="C18" s="256">
        <v>71330474</v>
      </c>
    </row>
    <row r="19" spans="1:3" ht="15.75">
      <c r="A19" s="255" t="s">
        <v>560</v>
      </c>
      <c r="B19" s="252">
        <v>766870</v>
      </c>
      <c r="C19" s="256">
        <v>1027776</v>
      </c>
    </row>
    <row r="20" spans="1:3" ht="31.5">
      <c r="A20" s="257" t="s">
        <v>561</v>
      </c>
      <c r="B20" s="254">
        <v>93504154</v>
      </c>
      <c r="C20" s="258">
        <v>92055313</v>
      </c>
    </row>
    <row r="21" spans="1:3" ht="15.75">
      <c r="A21" s="255" t="s">
        <v>562</v>
      </c>
      <c r="B21" s="252">
        <v>70635074</v>
      </c>
      <c r="C21" s="256">
        <v>70415308</v>
      </c>
    </row>
    <row r="22" spans="1:3" ht="15.75">
      <c r="A22" s="255" t="s">
        <v>563</v>
      </c>
      <c r="B22" s="252">
        <v>20680821</v>
      </c>
      <c r="C22" s="256">
        <v>25533562</v>
      </c>
    </row>
    <row r="23" spans="1:3" ht="15.75">
      <c r="A23" s="255" t="s">
        <v>564</v>
      </c>
      <c r="B23" s="252">
        <v>17844185</v>
      </c>
      <c r="C23" s="256">
        <v>17567345</v>
      </c>
    </row>
    <row r="24" spans="1:3" ht="31.5">
      <c r="A24" s="257" t="s">
        <v>565</v>
      </c>
      <c r="B24" s="254">
        <v>109160080</v>
      </c>
      <c r="C24" s="258">
        <v>113516215</v>
      </c>
    </row>
    <row r="25" spans="1:3" ht="15.75">
      <c r="A25" s="257" t="s">
        <v>566</v>
      </c>
      <c r="B25" s="254">
        <v>52607194</v>
      </c>
      <c r="C25" s="258">
        <v>95526891</v>
      </c>
    </row>
    <row r="26" spans="1:3" ht="15.75">
      <c r="A26" s="257" t="s">
        <v>567</v>
      </c>
      <c r="B26" s="254">
        <v>163168195</v>
      </c>
      <c r="C26" s="258">
        <v>136578681</v>
      </c>
    </row>
    <row r="27" spans="1:3" ht="31.5">
      <c r="A27" s="257" t="s">
        <v>568</v>
      </c>
      <c r="B27" s="254">
        <v>15550976</v>
      </c>
      <c r="C27" s="258">
        <v>14670868</v>
      </c>
    </row>
    <row r="28" spans="1:3" ht="15.75">
      <c r="A28" s="255" t="s">
        <v>569</v>
      </c>
      <c r="B28" s="252">
        <v>197000</v>
      </c>
      <c r="C28" s="256">
        <v>0</v>
      </c>
    </row>
    <row r="29" spans="1:3" ht="31.5">
      <c r="A29" s="255" t="s">
        <v>570</v>
      </c>
      <c r="B29" s="252">
        <v>4691820</v>
      </c>
      <c r="C29" s="256">
        <v>851</v>
      </c>
    </row>
    <row r="30" spans="1:3" ht="47.25">
      <c r="A30" s="257" t="s">
        <v>571</v>
      </c>
      <c r="B30" s="254">
        <v>4888820</v>
      </c>
      <c r="C30" s="258">
        <v>851</v>
      </c>
    </row>
    <row r="31" spans="1:3" ht="31.5">
      <c r="A31" s="255" t="s">
        <v>572</v>
      </c>
      <c r="B31" s="252">
        <v>14411</v>
      </c>
      <c r="C31" s="256">
        <v>61373</v>
      </c>
    </row>
    <row r="32" spans="1:3" ht="31.5">
      <c r="A32" s="257" t="s">
        <v>573</v>
      </c>
      <c r="B32" s="254">
        <v>14411</v>
      </c>
      <c r="C32" s="258">
        <v>61373</v>
      </c>
    </row>
    <row r="33" spans="1:3" ht="31.5">
      <c r="A33" s="257" t="s">
        <v>574</v>
      </c>
      <c r="B33" s="254">
        <v>4874409</v>
      </c>
      <c r="C33" s="258">
        <v>-60522</v>
      </c>
    </row>
    <row r="34" spans="1:3" ht="32.25" thickBot="1">
      <c r="A34" s="259" t="s">
        <v>575</v>
      </c>
      <c r="B34" s="260">
        <v>20425385</v>
      </c>
      <c r="C34" s="261">
        <v>14610346</v>
      </c>
    </row>
  </sheetData>
  <sheetProtection/>
  <mergeCells count="5">
    <mergeCell ref="A4:C4"/>
    <mergeCell ref="A5:C5"/>
    <mergeCell ref="A2:F2"/>
    <mergeCell ref="A1:C1"/>
    <mergeCell ref="A3:C3"/>
  </mergeCells>
  <printOptions headings="1"/>
  <pageMargins left="0.7" right="0.7" top="0.75" bottom="0.75" header="0.3" footer="0.3"/>
  <pageSetup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60" zoomScalePageLayoutView="0" workbookViewId="0" topLeftCell="A1">
      <selection activeCell="T5" sqref="T5"/>
    </sheetView>
  </sheetViews>
  <sheetFormatPr defaultColWidth="9.140625" defaultRowHeight="12.75"/>
  <cols>
    <col min="1" max="1" width="6.00390625" style="1" customWidth="1"/>
    <col min="2" max="2" width="26.00390625" style="1" customWidth="1"/>
    <col min="3" max="3" width="8.57421875" style="1" customWidth="1"/>
    <col min="4" max="4" width="15.421875" style="1" customWidth="1"/>
    <col min="5" max="6" width="11.28125" style="1" bestFit="1" customWidth="1"/>
    <col min="7" max="7" width="9.28125" style="1" bestFit="1" customWidth="1"/>
    <col min="8" max="8" width="11.28125" style="1" bestFit="1" customWidth="1"/>
    <col min="9" max="9" width="9.421875" style="1" bestFit="1" customWidth="1"/>
    <col min="10" max="10" width="9.28125" style="1" bestFit="1" customWidth="1"/>
    <col min="11" max="11" width="11.28125" style="1" bestFit="1" customWidth="1"/>
    <col min="12" max="12" width="12.8515625" style="1" customWidth="1"/>
    <col min="13" max="16384" width="9.140625" style="1" customWidth="1"/>
  </cols>
  <sheetData>
    <row r="1" spans="2:12" ht="15.75">
      <c r="B1" s="377" t="s">
        <v>589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3" spans="1:12" ht="15.75">
      <c r="A3" s="378" t="s">
        <v>588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ht="16.5" thickBot="1"/>
    <row r="5" spans="1:12" ht="78.75">
      <c r="A5" s="269" t="s">
        <v>667</v>
      </c>
      <c r="B5" s="270" t="s">
        <v>1</v>
      </c>
      <c r="C5" s="270" t="s">
        <v>668</v>
      </c>
      <c r="D5" s="270" t="s">
        <v>173</v>
      </c>
      <c r="E5" s="270" t="s">
        <v>590</v>
      </c>
      <c r="F5" s="270" t="s">
        <v>591</v>
      </c>
      <c r="G5" s="270" t="s">
        <v>592</v>
      </c>
      <c r="H5" s="270" t="s">
        <v>175</v>
      </c>
      <c r="I5" s="270" t="s">
        <v>593</v>
      </c>
      <c r="J5" s="270" t="s">
        <v>594</v>
      </c>
      <c r="K5" s="270" t="s">
        <v>595</v>
      </c>
      <c r="L5" s="271" t="s">
        <v>179</v>
      </c>
    </row>
    <row r="6" spans="1:12" ht="31.5">
      <c r="A6" s="274" t="s">
        <v>596</v>
      </c>
      <c r="B6" s="251" t="s">
        <v>597</v>
      </c>
      <c r="C6" s="252">
        <v>3</v>
      </c>
      <c r="D6" s="252">
        <v>6769099</v>
      </c>
      <c r="E6" s="252">
        <v>313878</v>
      </c>
      <c r="F6" s="252">
        <v>285823</v>
      </c>
      <c r="G6" s="252">
        <v>0</v>
      </c>
      <c r="H6" s="252">
        <v>446097</v>
      </c>
      <c r="I6" s="252">
        <v>71130</v>
      </c>
      <c r="J6" s="252">
        <v>0</v>
      </c>
      <c r="K6" s="252">
        <v>57300</v>
      </c>
      <c r="L6" s="256">
        <v>0</v>
      </c>
    </row>
    <row r="7" spans="1:12" ht="31.5">
      <c r="A7" s="274" t="s">
        <v>598</v>
      </c>
      <c r="B7" s="251" t="s">
        <v>599</v>
      </c>
      <c r="C7" s="252">
        <v>1</v>
      </c>
      <c r="D7" s="252">
        <v>4297510</v>
      </c>
      <c r="E7" s="252">
        <v>193383</v>
      </c>
      <c r="F7" s="252">
        <v>0</v>
      </c>
      <c r="G7" s="252">
        <v>0</v>
      </c>
      <c r="H7" s="252">
        <v>148699</v>
      </c>
      <c r="I7" s="252">
        <v>122790</v>
      </c>
      <c r="J7" s="252">
        <v>0</v>
      </c>
      <c r="K7" s="252">
        <v>0</v>
      </c>
      <c r="L7" s="256">
        <v>0</v>
      </c>
    </row>
    <row r="8" spans="1:12" ht="47.25">
      <c r="A8" s="273" t="s">
        <v>600</v>
      </c>
      <c r="B8" s="253" t="s">
        <v>601</v>
      </c>
      <c r="C8" s="254">
        <v>4</v>
      </c>
      <c r="D8" s="254">
        <v>11066609</v>
      </c>
      <c r="E8" s="254">
        <v>507261</v>
      </c>
      <c r="F8" s="254">
        <v>285823</v>
      </c>
      <c r="G8" s="254">
        <v>0</v>
      </c>
      <c r="H8" s="254">
        <v>594796</v>
      </c>
      <c r="I8" s="254">
        <v>193920</v>
      </c>
      <c r="J8" s="254">
        <v>0</v>
      </c>
      <c r="K8" s="254">
        <v>57300</v>
      </c>
      <c r="L8" s="258">
        <v>0</v>
      </c>
    </row>
    <row r="9" spans="1:12" ht="78.75">
      <c r="A9" s="274" t="s">
        <v>602</v>
      </c>
      <c r="B9" s="251" t="s">
        <v>603</v>
      </c>
      <c r="C9" s="252">
        <v>22</v>
      </c>
      <c r="D9" s="252">
        <v>48924663</v>
      </c>
      <c r="E9" s="252">
        <v>2350134</v>
      </c>
      <c r="F9" s="252">
        <v>3063843</v>
      </c>
      <c r="G9" s="252">
        <v>0</v>
      </c>
      <c r="H9" s="252">
        <v>3103413</v>
      </c>
      <c r="I9" s="252">
        <v>400085</v>
      </c>
      <c r="J9" s="252">
        <v>0</v>
      </c>
      <c r="K9" s="252">
        <v>1200749</v>
      </c>
      <c r="L9" s="256">
        <v>0</v>
      </c>
    </row>
    <row r="10" spans="1:12" ht="15.75">
      <c r="A10" s="274" t="s">
        <v>604</v>
      </c>
      <c r="B10" s="251" t="s">
        <v>605</v>
      </c>
      <c r="C10" s="252">
        <v>2</v>
      </c>
      <c r="D10" s="252">
        <v>2442739</v>
      </c>
      <c r="E10" s="252">
        <v>149195</v>
      </c>
      <c r="F10" s="252">
        <v>0</v>
      </c>
      <c r="G10" s="252">
        <v>0</v>
      </c>
      <c r="H10" s="252">
        <v>0</v>
      </c>
      <c r="I10" s="252">
        <v>0</v>
      </c>
      <c r="J10" s="252">
        <v>0</v>
      </c>
      <c r="K10" s="252">
        <v>30453</v>
      </c>
      <c r="L10" s="256">
        <v>0</v>
      </c>
    </row>
    <row r="11" spans="1:12" ht="63">
      <c r="A11" s="273" t="s">
        <v>606</v>
      </c>
      <c r="B11" s="253" t="s">
        <v>607</v>
      </c>
      <c r="C11" s="254">
        <v>24</v>
      </c>
      <c r="D11" s="254">
        <v>51367402</v>
      </c>
      <c r="E11" s="254">
        <v>2499329</v>
      </c>
      <c r="F11" s="254">
        <v>3063843</v>
      </c>
      <c r="G11" s="254">
        <v>0</v>
      </c>
      <c r="H11" s="254">
        <v>3103413</v>
      </c>
      <c r="I11" s="254">
        <v>400085</v>
      </c>
      <c r="J11" s="254">
        <v>0</v>
      </c>
      <c r="K11" s="254">
        <v>1231202</v>
      </c>
      <c r="L11" s="258">
        <v>0</v>
      </c>
    </row>
    <row r="12" spans="1:12" ht="31.5">
      <c r="A12" s="274" t="s">
        <v>608</v>
      </c>
      <c r="B12" s="251" t="s">
        <v>609</v>
      </c>
      <c r="C12" s="252">
        <v>1</v>
      </c>
      <c r="D12" s="252">
        <v>0</v>
      </c>
      <c r="E12" s="252">
        <v>0</v>
      </c>
      <c r="F12" s="252">
        <v>0</v>
      </c>
      <c r="G12" s="252">
        <v>0</v>
      </c>
      <c r="H12" s="252">
        <v>0</v>
      </c>
      <c r="I12" s="252">
        <v>0</v>
      </c>
      <c r="J12" s="252">
        <v>0</v>
      </c>
      <c r="K12" s="252">
        <v>0</v>
      </c>
      <c r="L12" s="256">
        <v>7591330</v>
      </c>
    </row>
    <row r="13" spans="1:12" ht="47.25">
      <c r="A13" s="274" t="s">
        <v>610</v>
      </c>
      <c r="B13" s="251" t="s">
        <v>611</v>
      </c>
      <c r="C13" s="252">
        <v>6</v>
      </c>
      <c r="D13" s="252">
        <v>0</v>
      </c>
      <c r="E13" s="252">
        <v>0</v>
      </c>
      <c r="F13" s="252">
        <v>0</v>
      </c>
      <c r="G13" s="252">
        <v>0</v>
      </c>
      <c r="H13" s="252">
        <v>0</v>
      </c>
      <c r="I13" s="252">
        <v>0</v>
      </c>
      <c r="J13" s="252">
        <v>0</v>
      </c>
      <c r="K13" s="252">
        <v>0</v>
      </c>
      <c r="L13" s="256">
        <v>4067989</v>
      </c>
    </row>
    <row r="14" spans="1:12" ht="47.25">
      <c r="A14" s="273" t="s">
        <v>612</v>
      </c>
      <c r="B14" s="253" t="s">
        <v>613</v>
      </c>
      <c r="C14" s="254">
        <v>7</v>
      </c>
      <c r="D14" s="254">
        <v>0</v>
      </c>
      <c r="E14" s="254">
        <v>0</v>
      </c>
      <c r="F14" s="254">
        <v>0</v>
      </c>
      <c r="G14" s="254">
        <v>0</v>
      </c>
      <c r="H14" s="254">
        <v>0</v>
      </c>
      <c r="I14" s="254">
        <v>0</v>
      </c>
      <c r="J14" s="254">
        <v>0</v>
      </c>
      <c r="K14" s="254">
        <v>0</v>
      </c>
      <c r="L14" s="258">
        <v>11659319</v>
      </c>
    </row>
    <row r="15" spans="1:12" ht="54" customHeight="1">
      <c r="A15" s="273" t="s">
        <v>614</v>
      </c>
      <c r="B15" s="253" t="s">
        <v>615</v>
      </c>
      <c r="C15" s="254">
        <v>35</v>
      </c>
      <c r="D15" s="254">
        <v>62434011</v>
      </c>
      <c r="E15" s="254">
        <v>3006590</v>
      </c>
      <c r="F15" s="254">
        <v>3349666</v>
      </c>
      <c r="G15" s="254">
        <v>0</v>
      </c>
      <c r="H15" s="254">
        <v>3698209</v>
      </c>
      <c r="I15" s="254">
        <v>594005</v>
      </c>
      <c r="J15" s="254">
        <v>0</v>
      </c>
      <c r="K15" s="254">
        <v>1288502</v>
      </c>
      <c r="L15" s="258">
        <v>11659319</v>
      </c>
    </row>
    <row r="16" spans="1:12" ht="78.75">
      <c r="A16" s="274" t="s">
        <v>616</v>
      </c>
      <c r="B16" s="251" t="s">
        <v>617</v>
      </c>
      <c r="C16" s="252">
        <v>39</v>
      </c>
      <c r="D16" s="252">
        <v>0</v>
      </c>
      <c r="E16" s="252">
        <v>0</v>
      </c>
      <c r="F16" s="252">
        <v>0</v>
      </c>
      <c r="G16" s="252">
        <v>0</v>
      </c>
      <c r="H16" s="252">
        <v>0</v>
      </c>
      <c r="I16" s="252">
        <v>0</v>
      </c>
      <c r="J16" s="252">
        <v>0</v>
      </c>
      <c r="K16" s="252">
        <v>0</v>
      </c>
      <c r="L16" s="256">
        <v>0</v>
      </c>
    </row>
    <row r="17" spans="1:12" ht="63">
      <c r="A17" s="274" t="s">
        <v>618</v>
      </c>
      <c r="B17" s="251" t="s">
        <v>619</v>
      </c>
      <c r="C17" s="252">
        <v>40</v>
      </c>
      <c r="D17" s="252">
        <v>0</v>
      </c>
      <c r="E17" s="252">
        <v>0</v>
      </c>
      <c r="F17" s="252">
        <v>0</v>
      </c>
      <c r="G17" s="252">
        <v>0</v>
      </c>
      <c r="H17" s="252">
        <v>0</v>
      </c>
      <c r="I17" s="252">
        <v>0</v>
      </c>
      <c r="J17" s="252">
        <v>0</v>
      </c>
      <c r="K17" s="252">
        <v>0</v>
      </c>
      <c r="L17" s="256">
        <v>0</v>
      </c>
    </row>
    <row r="18" spans="1:12" ht="79.5" thickBot="1">
      <c r="A18" s="275" t="s">
        <v>620</v>
      </c>
      <c r="B18" s="276" t="s">
        <v>621</v>
      </c>
      <c r="C18" s="277">
        <v>35</v>
      </c>
      <c r="D18" s="277">
        <v>0</v>
      </c>
      <c r="E18" s="277">
        <v>0</v>
      </c>
      <c r="F18" s="277">
        <v>0</v>
      </c>
      <c r="G18" s="277">
        <v>0</v>
      </c>
      <c r="H18" s="277">
        <v>0</v>
      </c>
      <c r="I18" s="277">
        <v>0</v>
      </c>
      <c r="J18" s="277">
        <v>0</v>
      </c>
      <c r="K18" s="277">
        <v>0</v>
      </c>
      <c r="L18" s="278">
        <v>0</v>
      </c>
    </row>
  </sheetData>
  <sheetProtection/>
  <mergeCells count="2">
    <mergeCell ref="B1:L1"/>
    <mergeCell ref="A3:L3"/>
  </mergeCells>
  <printOptions headings="1"/>
  <pageMargins left="0.7" right="0.7" top="0.75" bottom="0.75" header="0.3" footer="0.3"/>
  <pageSetup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60" zoomScalePageLayoutView="0" workbookViewId="0" topLeftCell="A1">
      <selection activeCell="H5" sqref="H5"/>
    </sheetView>
  </sheetViews>
  <sheetFormatPr defaultColWidth="18.140625" defaultRowHeight="12.75"/>
  <cols>
    <col min="1" max="1" width="3.28125" style="1" bestFit="1" customWidth="1"/>
    <col min="2" max="2" width="22.140625" style="1" customWidth="1"/>
    <col min="3" max="3" width="16.7109375" style="1" bestFit="1" customWidth="1"/>
    <col min="4" max="4" width="15.7109375" style="1" customWidth="1"/>
    <col min="5" max="5" width="14.57421875" style="1" customWidth="1"/>
    <col min="6" max="6" width="15.421875" style="1" customWidth="1"/>
    <col min="7" max="7" width="14.7109375" style="1" bestFit="1" customWidth="1"/>
    <col min="8" max="8" width="15.7109375" style="1" bestFit="1" customWidth="1"/>
    <col min="9" max="9" width="17.28125" style="1" bestFit="1" customWidth="1"/>
    <col min="10" max="16384" width="18.140625" style="1" customWidth="1"/>
  </cols>
  <sheetData>
    <row r="1" spans="1:9" ht="15.75">
      <c r="A1" s="374" t="s">
        <v>630</v>
      </c>
      <c r="B1" s="374"/>
      <c r="C1" s="374"/>
      <c r="D1" s="374"/>
      <c r="E1" s="374"/>
      <c r="F1" s="374"/>
      <c r="G1" s="374"/>
      <c r="H1" s="374"/>
      <c r="I1" s="374"/>
    </row>
    <row r="2" spans="1:9" ht="15.75">
      <c r="A2" s="26"/>
      <c r="B2" s="26"/>
      <c r="C2" s="26"/>
      <c r="D2" s="26"/>
      <c r="E2" s="26"/>
      <c r="F2" s="26"/>
      <c r="G2" s="26"/>
      <c r="H2" s="26"/>
      <c r="I2" s="26"/>
    </row>
    <row r="3" spans="1:9" ht="15.75">
      <c r="A3" s="379" t="s">
        <v>622</v>
      </c>
      <c r="B3" s="379"/>
      <c r="C3" s="379"/>
      <c r="D3" s="379"/>
      <c r="E3" s="379"/>
      <c r="F3" s="379"/>
      <c r="G3" s="379"/>
      <c r="H3" s="379"/>
      <c r="I3" s="379"/>
    </row>
    <row r="4" spans="1:9" ht="16.5" thickBot="1">
      <c r="A4" s="272"/>
      <c r="B4" s="272"/>
      <c r="C4" s="272"/>
      <c r="D4" s="272"/>
      <c r="E4" s="272"/>
      <c r="F4" s="272"/>
      <c r="G4" s="272"/>
      <c r="H4" s="272"/>
      <c r="I4" s="272"/>
    </row>
    <row r="5" spans="1:9" s="61" customFormat="1" ht="78.75">
      <c r="A5" s="279"/>
      <c r="B5" s="280" t="s">
        <v>1</v>
      </c>
      <c r="C5" s="280" t="s">
        <v>623</v>
      </c>
      <c r="D5" s="280" t="s">
        <v>624</v>
      </c>
      <c r="E5" s="280" t="s">
        <v>625</v>
      </c>
      <c r="F5" s="280" t="s">
        <v>626</v>
      </c>
      <c r="G5" s="280" t="s">
        <v>627</v>
      </c>
      <c r="H5" s="280" t="s">
        <v>628</v>
      </c>
      <c r="I5" s="281" t="s">
        <v>629</v>
      </c>
    </row>
    <row r="6" spans="1:9" ht="52.5" customHeight="1">
      <c r="A6" s="273" t="s">
        <v>631</v>
      </c>
      <c r="B6" s="253" t="s">
        <v>632</v>
      </c>
      <c r="C6" s="254">
        <v>23968796</v>
      </c>
      <c r="D6" s="254">
        <v>3033449154</v>
      </c>
      <c r="E6" s="254">
        <v>151489513</v>
      </c>
      <c r="F6" s="254">
        <v>0</v>
      </c>
      <c r="G6" s="254">
        <v>16719864</v>
      </c>
      <c r="H6" s="254">
        <v>0</v>
      </c>
      <c r="I6" s="258">
        <v>3225627327</v>
      </c>
    </row>
    <row r="7" spans="1:9" ht="47.25">
      <c r="A7" s="274" t="s">
        <v>633</v>
      </c>
      <c r="B7" s="251" t="s">
        <v>634</v>
      </c>
      <c r="C7" s="252">
        <v>97601</v>
      </c>
      <c r="D7" s="252">
        <v>0</v>
      </c>
      <c r="E7" s="252">
        <v>0</v>
      </c>
      <c r="F7" s="252">
        <v>0</v>
      </c>
      <c r="G7" s="252">
        <v>45764400</v>
      </c>
      <c r="H7" s="252">
        <v>0</v>
      </c>
      <c r="I7" s="256">
        <v>45862001</v>
      </c>
    </row>
    <row r="8" spans="1:9" ht="15.75">
      <c r="A8" s="274" t="s">
        <v>635</v>
      </c>
      <c r="B8" s="251" t="s">
        <v>636</v>
      </c>
      <c r="C8" s="252">
        <v>0</v>
      </c>
      <c r="D8" s="252">
        <v>0</v>
      </c>
      <c r="E8" s="252">
        <v>0</v>
      </c>
      <c r="F8" s="252">
        <v>0</v>
      </c>
      <c r="G8" s="252">
        <v>43956628</v>
      </c>
      <c r="H8" s="252">
        <v>0</v>
      </c>
      <c r="I8" s="256">
        <v>43956628</v>
      </c>
    </row>
    <row r="9" spans="1:9" ht="47.25">
      <c r="A9" s="274" t="s">
        <v>637</v>
      </c>
      <c r="B9" s="251" t="s">
        <v>638</v>
      </c>
      <c r="C9" s="252">
        <v>0</v>
      </c>
      <c r="D9" s="252">
        <v>67898582</v>
      </c>
      <c r="E9" s="252">
        <v>9348928</v>
      </c>
      <c r="F9" s="252">
        <v>0</v>
      </c>
      <c r="G9" s="252">
        <v>0</v>
      </c>
      <c r="H9" s="252">
        <v>0</v>
      </c>
      <c r="I9" s="256">
        <v>77247510</v>
      </c>
    </row>
    <row r="10" spans="1:9" ht="15.75">
      <c r="A10" s="274" t="s">
        <v>639</v>
      </c>
      <c r="B10" s="251" t="s">
        <v>640</v>
      </c>
      <c r="C10" s="252">
        <v>23395697</v>
      </c>
      <c r="D10" s="252">
        <v>0</v>
      </c>
      <c r="E10" s="252">
        <v>25923507</v>
      </c>
      <c r="F10" s="252">
        <v>0</v>
      </c>
      <c r="G10" s="252">
        <v>0</v>
      </c>
      <c r="H10" s="252">
        <v>0</v>
      </c>
      <c r="I10" s="256">
        <v>49319204</v>
      </c>
    </row>
    <row r="11" spans="1:9" ht="31.5">
      <c r="A11" s="273" t="s">
        <v>641</v>
      </c>
      <c r="B11" s="253" t="s">
        <v>642</v>
      </c>
      <c r="C11" s="254">
        <v>23493298</v>
      </c>
      <c r="D11" s="254">
        <v>67898582</v>
      </c>
      <c r="E11" s="254">
        <v>35272435</v>
      </c>
      <c r="F11" s="254">
        <v>0</v>
      </c>
      <c r="G11" s="254">
        <v>89721028</v>
      </c>
      <c r="H11" s="254">
        <v>0</v>
      </c>
      <c r="I11" s="258">
        <v>216385343</v>
      </c>
    </row>
    <row r="12" spans="1:9" ht="15.75">
      <c r="A12" s="274" t="s">
        <v>643</v>
      </c>
      <c r="B12" s="251" t="s">
        <v>644</v>
      </c>
      <c r="C12" s="252">
        <v>23066397</v>
      </c>
      <c r="D12" s="252">
        <v>7888891</v>
      </c>
      <c r="E12" s="252">
        <v>21862816</v>
      </c>
      <c r="F12" s="252">
        <v>0</v>
      </c>
      <c r="G12" s="252">
        <v>81308201</v>
      </c>
      <c r="H12" s="252">
        <v>0</v>
      </c>
      <c r="I12" s="256">
        <v>134126305</v>
      </c>
    </row>
    <row r="13" spans="1:9" ht="31.5">
      <c r="A13" s="273" t="s">
        <v>645</v>
      </c>
      <c r="B13" s="253" t="s">
        <v>646</v>
      </c>
      <c r="C13" s="254">
        <v>23066397</v>
      </c>
      <c r="D13" s="254">
        <v>7888891</v>
      </c>
      <c r="E13" s="254">
        <v>21862816</v>
      </c>
      <c r="F13" s="254">
        <v>0</v>
      </c>
      <c r="G13" s="254">
        <v>81308201</v>
      </c>
      <c r="H13" s="254">
        <v>0</v>
      </c>
      <c r="I13" s="258">
        <v>134126305</v>
      </c>
    </row>
    <row r="14" spans="1:9" ht="47.25">
      <c r="A14" s="273" t="s">
        <v>647</v>
      </c>
      <c r="B14" s="253" t="s">
        <v>648</v>
      </c>
      <c r="C14" s="254">
        <v>24395697</v>
      </c>
      <c r="D14" s="254">
        <v>3093458845</v>
      </c>
      <c r="E14" s="254">
        <v>164899132</v>
      </c>
      <c r="F14" s="254">
        <v>0</v>
      </c>
      <c r="G14" s="254">
        <v>25132691</v>
      </c>
      <c r="H14" s="254">
        <v>0</v>
      </c>
      <c r="I14" s="258">
        <v>3307886365</v>
      </c>
    </row>
    <row r="15" spans="1:9" ht="47.25">
      <c r="A15" s="273" t="s">
        <v>649</v>
      </c>
      <c r="B15" s="253" t="s">
        <v>650</v>
      </c>
      <c r="C15" s="254">
        <v>23318536</v>
      </c>
      <c r="D15" s="254">
        <v>519096691</v>
      </c>
      <c r="E15" s="254">
        <v>102465726</v>
      </c>
      <c r="F15" s="254">
        <v>0</v>
      </c>
      <c r="G15" s="254">
        <v>0</v>
      </c>
      <c r="H15" s="254">
        <v>0</v>
      </c>
      <c r="I15" s="258">
        <v>644880953</v>
      </c>
    </row>
    <row r="16" spans="1:9" ht="47.25">
      <c r="A16" s="274" t="s">
        <v>651</v>
      </c>
      <c r="B16" s="251" t="s">
        <v>652</v>
      </c>
      <c r="C16" s="252">
        <v>765188</v>
      </c>
      <c r="D16" s="252">
        <v>77426271</v>
      </c>
      <c r="E16" s="252">
        <v>17664732</v>
      </c>
      <c r="F16" s="252">
        <v>0</v>
      </c>
      <c r="G16" s="252">
        <v>0</v>
      </c>
      <c r="H16" s="252">
        <v>0</v>
      </c>
      <c r="I16" s="256">
        <v>95856191</v>
      </c>
    </row>
    <row r="17" spans="1:9" ht="63">
      <c r="A17" s="273" t="s">
        <v>653</v>
      </c>
      <c r="B17" s="253" t="s">
        <v>654</v>
      </c>
      <c r="C17" s="254">
        <v>24083724</v>
      </c>
      <c r="D17" s="254">
        <v>596522962</v>
      </c>
      <c r="E17" s="254">
        <v>120130458</v>
      </c>
      <c r="F17" s="254">
        <v>0</v>
      </c>
      <c r="G17" s="254">
        <v>0</v>
      </c>
      <c r="H17" s="254">
        <v>0</v>
      </c>
      <c r="I17" s="258">
        <v>740737144</v>
      </c>
    </row>
    <row r="18" spans="1:9" ht="31.5">
      <c r="A18" s="273" t="s">
        <v>655</v>
      </c>
      <c r="B18" s="253" t="s">
        <v>656</v>
      </c>
      <c r="C18" s="254">
        <v>24083724</v>
      </c>
      <c r="D18" s="254">
        <v>596522962</v>
      </c>
      <c r="E18" s="254">
        <v>120130458</v>
      </c>
      <c r="F18" s="254">
        <v>0</v>
      </c>
      <c r="G18" s="254">
        <v>0</v>
      </c>
      <c r="H18" s="254">
        <v>0</v>
      </c>
      <c r="I18" s="258">
        <v>740737144</v>
      </c>
    </row>
    <row r="19" spans="1:9" ht="31.5">
      <c r="A19" s="273" t="s">
        <v>657</v>
      </c>
      <c r="B19" s="253" t="s">
        <v>658</v>
      </c>
      <c r="C19" s="254">
        <v>311973</v>
      </c>
      <c r="D19" s="254">
        <v>2496935883</v>
      </c>
      <c r="E19" s="254">
        <v>44768674</v>
      </c>
      <c r="F19" s="254">
        <v>0</v>
      </c>
      <c r="G19" s="254">
        <v>25132691</v>
      </c>
      <c r="H19" s="254">
        <v>0</v>
      </c>
      <c r="I19" s="258">
        <v>2567149221</v>
      </c>
    </row>
    <row r="20" spans="1:9" ht="32.25" thickBot="1">
      <c r="A20" s="275" t="s">
        <v>659</v>
      </c>
      <c r="B20" s="276" t="s">
        <v>660</v>
      </c>
      <c r="C20" s="277">
        <v>23395697</v>
      </c>
      <c r="D20" s="277">
        <v>16739400</v>
      </c>
      <c r="E20" s="277">
        <v>86231411</v>
      </c>
      <c r="F20" s="277">
        <v>0</v>
      </c>
      <c r="G20" s="277">
        <v>0</v>
      </c>
      <c r="H20" s="277">
        <v>0</v>
      </c>
      <c r="I20" s="278">
        <v>126366508</v>
      </c>
    </row>
  </sheetData>
  <sheetProtection/>
  <mergeCells count="2">
    <mergeCell ref="A1:I1"/>
    <mergeCell ref="A3:I3"/>
  </mergeCells>
  <printOptions headings="1"/>
  <pageMargins left="0.7" right="0.7" top="0.75" bottom="0.75" header="0.3" footer="0.3"/>
  <pageSetup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view="pageBreakPreview" zoomScale="60" zoomScalePageLayoutView="0" workbookViewId="0" topLeftCell="A1">
      <selection activeCell="K20" sqref="K20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28125" style="0" customWidth="1"/>
    <col min="4" max="4" width="4.00390625" style="0" customWidth="1"/>
    <col min="5" max="5" width="58.140625" style="0" customWidth="1"/>
    <col min="6" max="6" width="14.140625" style="0" customWidth="1"/>
    <col min="7" max="7" width="13.57421875" style="0" customWidth="1"/>
    <col min="8" max="8" width="13.421875" style="169" customWidth="1"/>
    <col min="9" max="9" width="9.57421875" style="189" bestFit="1" customWidth="1"/>
  </cols>
  <sheetData>
    <row r="1" spans="1:9" ht="15.75">
      <c r="A1" s="299" t="s">
        <v>440</v>
      </c>
      <c r="B1" s="299"/>
      <c r="C1" s="299"/>
      <c r="D1" s="299"/>
      <c r="E1" s="299"/>
      <c r="F1" s="299"/>
      <c r="G1" s="299"/>
      <c r="H1" s="299"/>
      <c r="I1" s="299"/>
    </row>
    <row r="2" spans="1:6" ht="15.75">
      <c r="A2" s="11"/>
      <c r="B2" s="11"/>
      <c r="C2" s="11"/>
      <c r="D2" s="11"/>
      <c r="E2" s="3"/>
      <c r="F2" s="3"/>
    </row>
    <row r="3" spans="1:9" ht="15" customHeight="1">
      <c r="A3" s="310" t="s">
        <v>0</v>
      </c>
      <c r="B3" s="310"/>
      <c r="C3" s="310"/>
      <c r="D3" s="310"/>
      <c r="E3" s="310"/>
      <c r="F3" s="310"/>
      <c r="G3" s="310"/>
      <c r="H3" s="310"/>
      <c r="I3" s="310"/>
    </row>
    <row r="4" spans="1:9" ht="15" customHeight="1">
      <c r="A4" s="310" t="s">
        <v>464</v>
      </c>
      <c r="B4" s="310"/>
      <c r="C4" s="310"/>
      <c r="D4" s="310"/>
      <c r="E4" s="310"/>
      <c r="F4" s="310"/>
      <c r="G4" s="310"/>
      <c r="H4" s="310"/>
      <c r="I4" s="310"/>
    </row>
    <row r="5" spans="1:9" ht="15" customHeight="1">
      <c r="A5" s="310" t="s">
        <v>43</v>
      </c>
      <c r="B5" s="310"/>
      <c r="C5" s="310"/>
      <c r="D5" s="310"/>
      <c r="E5" s="310"/>
      <c r="F5" s="310"/>
      <c r="G5" s="310"/>
      <c r="H5" s="310"/>
      <c r="I5" s="310"/>
    </row>
    <row r="6" spans="1:6" ht="15" customHeight="1">
      <c r="A6" s="12"/>
      <c r="B6" s="12"/>
      <c r="C6" s="12"/>
      <c r="D6" s="12"/>
      <c r="E6" s="12"/>
      <c r="F6" s="12"/>
    </row>
    <row r="7" spans="1:8" ht="16.5" thickBot="1">
      <c r="A7" s="13"/>
      <c r="B7" s="13"/>
      <c r="C7" s="13"/>
      <c r="D7" s="13"/>
      <c r="E7" s="14"/>
      <c r="F7" s="14"/>
      <c r="H7" s="169" t="s">
        <v>472</v>
      </c>
    </row>
    <row r="8" spans="1:9" ht="15.75" customHeight="1">
      <c r="A8" s="318" t="s">
        <v>44</v>
      </c>
      <c r="B8" s="319"/>
      <c r="C8" s="319"/>
      <c r="D8" s="319"/>
      <c r="E8" s="320"/>
      <c r="F8" s="306" t="s">
        <v>2</v>
      </c>
      <c r="G8" s="306" t="s">
        <v>393</v>
      </c>
      <c r="H8" s="324" t="s">
        <v>462</v>
      </c>
      <c r="I8" s="326" t="s">
        <v>463</v>
      </c>
    </row>
    <row r="9" spans="1:9" ht="12.75" customHeight="1">
      <c r="A9" s="321"/>
      <c r="B9" s="322"/>
      <c r="C9" s="322"/>
      <c r="D9" s="322"/>
      <c r="E9" s="323"/>
      <c r="F9" s="307"/>
      <c r="G9" s="307"/>
      <c r="H9" s="325"/>
      <c r="I9" s="327"/>
    </row>
    <row r="10" spans="1:9" ht="15.75">
      <c r="A10" s="193" t="s">
        <v>45</v>
      </c>
      <c r="B10" s="15"/>
      <c r="C10" s="15"/>
      <c r="D10" s="15"/>
      <c r="E10" s="130"/>
      <c r="F10" s="137">
        <f>F11+F20+F22+F15</f>
        <v>1200000</v>
      </c>
      <c r="G10" s="137">
        <f>G11+G20+G22+G15</f>
        <v>2078401</v>
      </c>
      <c r="H10" s="137">
        <f>H11+H20+H22+H15</f>
        <v>1838241</v>
      </c>
      <c r="I10" s="194">
        <f>H10/G10</f>
        <v>0.88444963219321</v>
      </c>
    </row>
    <row r="11" spans="1:9" ht="15.75">
      <c r="A11" s="195" t="s">
        <v>4</v>
      </c>
      <c r="B11" s="16"/>
      <c r="C11" s="16" t="s">
        <v>5</v>
      </c>
      <c r="D11" s="16"/>
      <c r="E11" s="131"/>
      <c r="F11" s="142">
        <f>SUM(F12)</f>
        <v>0</v>
      </c>
      <c r="G11" s="142">
        <f>SUM(G12)</f>
        <v>575084</v>
      </c>
      <c r="H11" s="142">
        <f>SUM(H12)</f>
        <v>600084</v>
      </c>
      <c r="I11" s="196">
        <f>H11/G11</f>
        <v>1.0434719101905112</v>
      </c>
    </row>
    <row r="12" spans="1:9" ht="15.75">
      <c r="A12" s="197"/>
      <c r="B12" s="17" t="s">
        <v>46</v>
      </c>
      <c r="C12" s="17"/>
      <c r="D12" s="17" t="s">
        <v>47</v>
      </c>
      <c r="E12" s="131"/>
      <c r="F12" s="140">
        <f>F13</f>
        <v>0</v>
      </c>
      <c r="G12" s="140">
        <f>SUM(G13)</f>
        <v>575084</v>
      </c>
      <c r="H12" s="140">
        <f>SUM(H13:H14)</f>
        <v>600084</v>
      </c>
      <c r="I12" s="196">
        <f aca="true" t="shared" si="0" ref="I12:I74">H12/G12</f>
        <v>1.0434719101905112</v>
      </c>
    </row>
    <row r="13" spans="1:9" ht="31.5">
      <c r="A13" s="198"/>
      <c r="B13" s="18"/>
      <c r="C13" s="19" t="s">
        <v>466</v>
      </c>
      <c r="D13" s="18"/>
      <c r="E13" s="160" t="s">
        <v>411</v>
      </c>
      <c r="F13" s="140">
        <v>0</v>
      </c>
      <c r="G13" s="140">
        <v>575084</v>
      </c>
      <c r="H13" s="199">
        <v>575084</v>
      </c>
      <c r="I13" s="196">
        <f t="shared" si="0"/>
        <v>1</v>
      </c>
    </row>
    <row r="14" spans="1:9" ht="15.75">
      <c r="A14" s="198"/>
      <c r="B14" s="18"/>
      <c r="C14" s="19" t="s">
        <v>467</v>
      </c>
      <c r="D14" s="18"/>
      <c r="E14" s="160" t="s">
        <v>468</v>
      </c>
      <c r="F14" s="140"/>
      <c r="G14" s="140"/>
      <c r="H14" s="127">
        <v>25000</v>
      </c>
      <c r="I14" s="196"/>
    </row>
    <row r="15" spans="1:9" ht="15.75">
      <c r="A15" s="195" t="s">
        <v>8</v>
      </c>
      <c r="B15" s="16"/>
      <c r="C15" s="16" t="s">
        <v>9</v>
      </c>
      <c r="D15" s="16"/>
      <c r="E15" s="153"/>
      <c r="F15" s="140">
        <f>SUM(F16:F19)</f>
        <v>250000</v>
      </c>
      <c r="G15" s="140">
        <f>SUM(G16:G19)</f>
        <v>250000</v>
      </c>
      <c r="H15" s="140">
        <f>SUM(H16:H19)</f>
        <v>249894</v>
      </c>
      <c r="I15" s="196">
        <f t="shared" si="0"/>
        <v>0.999576</v>
      </c>
    </row>
    <row r="16" spans="1:9" ht="15.75">
      <c r="A16" s="197"/>
      <c r="B16" s="17"/>
      <c r="C16" s="17" t="s">
        <v>48</v>
      </c>
      <c r="D16" s="17" t="s">
        <v>49</v>
      </c>
      <c r="E16" s="131"/>
      <c r="F16" s="140">
        <v>200000</v>
      </c>
      <c r="G16" s="140">
        <v>200000</v>
      </c>
      <c r="H16" s="127">
        <v>141420</v>
      </c>
      <c r="I16" s="196">
        <f t="shared" si="0"/>
        <v>0.7071</v>
      </c>
    </row>
    <row r="17" spans="1:9" ht="15.75">
      <c r="A17" s="197"/>
      <c r="B17" s="17"/>
      <c r="C17" s="17" t="s">
        <v>50</v>
      </c>
      <c r="D17" s="17" t="s">
        <v>51</v>
      </c>
      <c r="E17" s="131"/>
      <c r="F17" s="140">
        <v>0</v>
      </c>
      <c r="G17" s="140">
        <v>0</v>
      </c>
      <c r="H17" s="127"/>
      <c r="I17" s="196"/>
    </row>
    <row r="18" spans="1:9" ht="15.75">
      <c r="A18" s="197"/>
      <c r="B18" s="17"/>
      <c r="C18" s="17" t="s">
        <v>54</v>
      </c>
      <c r="D18" s="17" t="s">
        <v>55</v>
      </c>
      <c r="E18" s="131"/>
      <c r="F18" s="140">
        <v>50000</v>
      </c>
      <c r="G18" s="140">
        <v>50000</v>
      </c>
      <c r="H18" s="127">
        <v>851</v>
      </c>
      <c r="I18" s="196">
        <f t="shared" si="0"/>
        <v>0.01702</v>
      </c>
    </row>
    <row r="19" spans="1:9" ht="15.75">
      <c r="A19" s="197"/>
      <c r="B19" s="17"/>
      <c r="C19" s="17" t="s">
        <v>56</v>
      </c>
      <c r="D19" s="17" t="s">
        <v>57</v>
      </c>
      <c r="E19" s="131"/>
      <c r="F19" s="140">
        <v>0</v>
      </c>
      <c r="G19" s="140">
        <v>0</v>
      </c>
      <c r="H19" s="127">
        <v>107623</v>
      </c>
      <c r="I19" s="196"/>
    </row>
    <row r="20" spans="1:9" ht="15.75">
      <c r="A20" s="195" t="s">
        <v>15</v>
      </c>
      <c r="B20" s="16"/>
      <c r="C20" s="16" t="s">
        <v>16</v>
      </c>
      <c r="D20" s="16"/>
      <c r="E20" s="153"/>
      <c r="F20" s="142">
        <f>SUM(F21:F21)</f>
        <v>600000</v>
      </c>
      <c r="G20" s="142">
        <f>SUM(G21:G21)</f>
        <v>600000</v>
      </c>
      <c r="H20" s="142">
        <f>SUM(H21:H21)</f>
        <v>598146</v>
      </c>
      <c r="I20" s="196">
        <f t="shared" si="0"/>
        <v>0.99691</v>
      </c>
    </row>
    <row r="21" spans="1:9" ht="15.75">
      <c r="A21" s="197"/>
      <c r="B21" s="17" t="s">
        <v>58</v>
      </c>
      <c r="C21" s="17"/>
      <c r="D21" s="17" t="s">
        <v>59</v>
      </c>
      <c r="E21" s="131"/>
      <c r="F21" s="140">
        <v>600000</v>
      </c>
      <c r="G21" s="140">
        <v>600000</v>
      </c>
      <c r="H21" s="127">
        <v>598146</v>
      </c>
      <c r="I21" s="196">
        <f t="shared" si="0"/>
        <v>0.99691</v>
      </c>
    </row>
    <row r="22" spans="1:9" ht="15.75">
      <c r="A22" s="195" t="s">
        <v>10</v>
      </c>
      <c r="B22" s="16"/>
      <c r="C22" s="16" t="s">
        <v>11</v>
      </c>
      <c r="D22" s="16"/>
      <c r="E22" s="153"/>
      <c r="F22" s="142">
        <f>SUM(F23:F24)</f>
        <v>350000</v>
      </c>
      <c r="G22" s="142">
        <f>SUM(G23:G25)</f>
        <v>653317</v>
      </c>
      <c r="H22" s="142">
        <f>SUM(H23:H25)</f>
        <v>390117</v>
      </c>
      <c r="I22" s="196">
        <f t="shared" si="0"/>
        <v>0.5971327854624937</v>
      </c>
    </row>
    <row r="23" spans="1:9" ht="15.75">
      <c r="A23" s="197"/>
      <c r="B23" s="17" t="s">
        <v>469</v>
      </c>
      <c r="C23" s="17"/>
      <c r="D23" s="17" t="s">
        <v>60</v>
      </c>
      <c r="E23" s="131"/>
      <c r="F23" s="140">
        <v>350000</v>
      </c>
      <c r="G23" s="140">
        <v>350000</v>
      </c>
      <c r="H23" s="127">
        <v>86800</v>
      </c>
      <c r="I23" s="196">
        <f t="shared" si="0"/>
        <v>0.248</v>
      </c>
    </row>
    <row r="24" spans="1:9" ht="15.75" customHeight="1">
      <c r="A24" s="197"/>
      <c r="B24" s="17" t="s">
        <v>400</v>
      </c>
      <c r="C24" s="17"/>
      <c r="D24" s="17" t="s">
        <v>404</v>
      </c>
      <c r="E24" s="131"/>
      <c r="F24" s="127">
        <v>0</v>
      </c>
      <c r="G24" s="140">
        <v>274427</v>
      </c>
      <c r="H24" s="127">
        <v>274427</v>
      </c>
      <c r="I24" s="196">
        <f t="shared" si="0"/>
        <v>1</v>
      </c>
    </row>
    <row r="25" spans="1:9" ht="15.75" customHeight="1">
      <c r="A25" s="197"/>
      <c r="B25" s="17" t="s">
        <v>400</v>
      </c>
      <c r="C25" s="17"/>
      <c r="D25" s="17" t="s">
        <v>412</v>
      </c>
      <c r="E25" s="131"/>
      <c r="F25" s="127"/>
      <c r="G25" s="140">
        <v>28890</v>
      </c>
      <c r="H25" s="127">
        <v>28890</v>
      </c>
      <c r="I25" s="196">
        <f t="shared" si="0"/>
        <v>1</v>
      </c>
    </row>
    <row r="26" spans="1:9" ht="15.75" customHeight="1">
      <c r="A26" s="197"/>
      <c r="B26" s="17"/>
      <c r="C26" s="17"/>
      <c r="D26" s="17"/>
      <c r="E26" s="131"/>
      <c r="F26" s="127"/>
      <c r="G26" s="154"/>
      <c r="H26" s="127"/>
      <c r="I26" s="196"/>
    </row>
    <row r="27" spans="1:9" ht="15.75" customHeight="1">
      <c r="A27" s="200" t="s">
        <v>61</v>
      </c>
      <c r="B27" s="20"/>
      <c r="C27" s="20"/>
      <c r="D27" s="20"/>
      <c r="E27" s="132"/>
      <c r="F27" s="91">
        <f>SUM(F28)</f>
        <v>117000000</v>
      </c>
      <c r="G27" s="91">
        <f>SUM(G28)</f>
        <v>155322687</v>
      </c>
      <c r="H27" s="91">
        <f>SUM(H28)</f>
        <v>155322687</v>
      </c>
      <c r="I27" s="194">
        <f t="shared" si="0"/>
        <v>1</v>
      </c>
    </row>
    <row r="28" spans="1:9" ht="15.75" customHeight="1">
      <c r="A28" s="195" t="s">
        <v>6</v>
      </c>
      <c r="B28" s="16"/>
      <c r="C28" s="16" t="s">
        <v>7</v>
      </c>
      <c r="D28" s="16"/>
      <c r="E28" s="153"/>
      <c r="F28" s="66">
        <f>F29+F32+F39</f>
        <v>117000000</v>
      </c>
      <c r="G28" s="66">
        <f>G29+G32+G39</f>
        <v>155322687</v>
      </c>
      <c r="H28" s="66">
        <f>H29+H32+H39</f>
        <v>155322687</v>
      </c>
      <c r="I28" s="196">
        <f t="shared" si="0"/>
        <v>1</v>
      </c>
    </row>
    <row r="29" spans="1:9" ht="15.75" customHeight="1">
      <c r="A29" s="197"/>
      <c r="B29" s="16" t="s">
        <v>62</v>
      </c>
      <c r="C29" s="16"/>
      <c r="D29" s="16" t="s">
        <v>63</v>
      </c>
      <c r="E29" s="153"/>
      <c r="F29" s="66">
        <f>SUM(F30:F31)</f>
        <v>63000000</v>
      </c>
      <c r="G29" s="66">
        <f>SUM(G30:G31)</f>
        <v>65022420</v>
      </c>
      <c r="H29" s="66">
        <f>SUM(H30:H31)</f>
        <v>65022420</v>
      </c>
      <c r="I29" s="196">
        <f t="shared" si="0"/>
        <v>1</v>
      </c>
    </row>
    <row r="30" spans="1:9" ht="15.75" customHeight="1">
      <c r="A30" s="197"/>
      <c r="B30" s="17"/>
      <c r="C30" s="17" t="s">
        <v>64</v>
      </c>
      <c r="D30" s="17"/>
      <c r="E30" s="131" t="s">
        <v>65</v>
      </c>
      <c r="F30" s="92">
        <v>53000000</v>
      </c>
      <c r="G30" s="92">
        <v>53000000</v>
      </c>
      <c r="H30" s="127">
        <v>52345678</v>
      </c>
      <c r="I30" s="196">
        <f t="shared" si="0"/>
        <v>0.9876543018867925</v>
      </c>
    </row>
    <row r="31" spans="1:9" ht="15.75" customHeight="1">
      <c r="A31" s="195"/>
      <c r="B31" s="16"/>
      <c r="C31" s="17" t="s">
        <v>66</v>
      </c>
      <c r="D31" s="16"/>
      <c r="E31" s="131" t="s">
        <v>67</v>
      </c>
      <c r="F31" s="127">
        <v>10000000</v>
      </c>
      <c r="G31" s="127">
        <v>12022420</v>
      </c>
      <c r="H31" s="127">
        <v>12676742</v>
      </c>
      <c r="I31" s="196">
        <f t="shared" si="0"/>
        <v>1.0544251490132601</v>
      </c>
    </row>
    <row r="32" spans="1:9" ht="15.75" customHeight="1">
      <c r="A32" s="195"/>
      <c r="B32" s="16" t="s">
        <v>68</v>
      </c>
      <c r="C32" s="16"/>
      <c r="D32" s="16" t="s">
        <v>69</v>
      </c>
      <c r="E32" s="153"/>
      <c r="F32" s="66">
        <f>F33+F35+F37</f>
        <v>53500000</v>
      </c>
      <c r="G32" s="66">
        <f>G33+G35+G37</f>
        <v>89663257</v>
      </c>
      <c r="H32" s="66">
        <f>H33+H35+H37</f>
        <v>89663257</v>
      </c>
      <c r="I32" s="196">
        <f t="shared" si="0"/>
        <v>1</v>
      </c>
    </row>
    <row r="33" spans="1:9" ht="15.75" customHeight="1">
      <c r="A33" s="195"/>
      <c r="B33" s="17"/>
      <c r="C33" s="17" t="s">
        <v>70</v>
      </c>
      <c r="D33" s="17" t="s">
        <v>71</v>
      </c>
      <c r="E33" s="131"/>
      <c r="F33" s="127">
        <f>SUM(F34)</f>
        <v>27000000</v>
      </c>
      <c r="G33" s="127">
        <f>SUM(G34)</f>
        <v>54470257</v>
      </c>
      <c r="H33" s="127">
        <f>SUM(H34)</f>
        <v>54470257</v>
      </c>
      <c r="I33" s="196">
        <f t="shared" si="0"/>
        <v>1</v>
      </c>
    </row>
    <row r="34" spans="1:9" ht="15.75" customHeight="1">
      <c r="A34" s="195"/>
      <c r="B34" s="17"/>
      <c r="C34" s="17"/>
      <c r="D34" s="17"/>
      <c r="E34" s="131" t="s">
        <v>72</v>
      </c>
      <c r="F34" s="92">
        <v>27000000</v>
      </c>
      <c r="G34" s="92">
        <v>54470257</v>
      </c>
      <c r="H34" s="127">
        <v>54470257</v>
      </c>
      <c r="I34" s="196">
        <f t="shared" si="0"/>
        <v>1</v>
      </c>
    </row>
    <row r="35" spans="1:9" ht="15.75" customHeight="1">
      <c r="A35" s="195"/>
      <c r="B35" s="17"/>
      <c r="C35" s="17" t="s">
        <v>73</v>
      </c>
      <c r="D35" s="17" t="s">
        <v>74</v>
      </c>
      <c r="E35" s="131"/>
      <c r="F35" s="127">
        <f>SUM(F36)</f>
        <v>3500000</v>
      </c>
      <c r="G35" s="127">
        <f>SUM(G36)</f>
        <v>4088100</v>
      </c>
      <c r="H35" s="127">
        <f>SUM(H36)</f>
        <v>4088100</v>
      </c>
      <c r="I35" s="196">
        <f t="shared" si="0"/>
        <v>1</v>
      </c>
    </row>
    <row r="36" spans="1:9" ht="15.75" customHeight="1">
      <c r="A36" s="195"/>
      <c r="B36" s="17"/>
      <c r="C36" s="17"/>
      <c r="D36" s="17"/>
      <c r="E36" s="131" t="s">
        <v>75</v>
      </c>
      <c r="F36" s="127">
        <v>3500000</v>
      </c>
      <c r="G36" s="127">
        <v>4088100</v>
      </c>
      <c r="H36" s="127">
        <v>4088100</v>
      </c>
      <c r="I36" s="196">
        <f t="shared" si="0"/>
        <v>1</v>
      </c>
    </row>
    <row r="37" spans="1:9" ht="15.75" customHeight="1">
      <c r="A37" s="195"/>
      <c r="B37" s="17"/>
      <c r="C37" s="17" t="s">
        <v>76</v>
      </c>
      <c r="D37" s="17" t="s">
        <v>77</v>
      </c>
      <c r="E37" s="131"/>
      <c r="F37" s="127">
        <f>SUM(F38:F38)</f>
        <v>23000000</v>
      </c>
      <c r="G37" s="127">
        <f>SUM(G38:G38)</f>
        <v>31104900</v>
      </c>
      <c r="H37" s="127">
        <f>SUM(H38:H38)</f>
        <v>31104900</v>
      </c>
      <c r="I37" s="196">
        <f t="shared" si="0"/>
        <v>1</v>
      </c>
    </row>
    <row r="38" spans="1:9" ht="15.75" customHeight="1">
      <c r="A38" s="195"/>
      <c r="B38" s="17"/>
      <c r="C38" s="17"/>
      <c r="D38" s="17"/>
      <c r="E38" s="131" t="s">
        <v>78</v>
      </c>
      <c r="F38" s="127">
        <v>23000000</v>
      </c>
      <c r="G38" s="127">
        <v>31104900</v>
      </c>
      <c r="H38" s="127">
        <v>31104900</v>
      </c>
      <c r="I38" s="196">
        <f t="shared" si="0"/>
        <v>1</v>
      </c>
    </row>
    <row r="39" spans="1:9" ht="15.75" customHeight="1">
      <c r="A39" s="197"/>
      <c r="B39" s="16" t="s">
        <v>79</v>
      </c>
      <c r="C39" s="16"/>
      <c r="D39" s="16" t="s">
        <v>80</v>
      </c>
      <c r="E39" s="153"/>
      <c r="F39" s="66">
        <f>F40</f>
        <v>500000</v>
      </c>
      <c r="G39" s="66">
        <f>G40</f>
        <v>637010</v>
      </c>
      <c r="H39" s="66">
        <f>H40</f>
        <v>637010</v>
      </c>
      <c r="I39" s="196">
        <f t="shared" si="0"/>
        <v>1</v>
      </c>
    </row>
    <row r="40" spans="1:9" ht="15.75" customHeight="1">
      <c r="A40" s="197"/>
      <c r="B40" s="17"/>
      <c r="C40" s="17" t="s">
        <v>81</v>
      </c>
      <c r="D40" s="17"/>
      <c r="E40" s="131" t="s">
        <v>82</v>
      </c>
      <c r="F40" s="127">
        <v>500000</v>
      </c>
      <c r="G40" s="127">
        <v>637010</v>
      </c>
      <c r="H40" s="127">
        <v>637010</v>
      </c>
      <c r="I40" s="196">
        <f t="shared" si="0"/>
        <v>1</v>
      </c>
    </row>
    <row r="41" spans="1:9" ht="15.75" customHeight="1">
      <c r="A41" s="195"/>
      <c r="B41" s="17"/>
      <c r="C41" s="17"/>
      <c r="D41" s="17"/>
      <c r="E41" s="131"/>
      <c r="F41" s="127"/>
      <c r="G41" s="154"/>
      <c r="H41" s="127"/>
      <c r="I41" s="196"/>
    </row>
    <row r="42" spans="1:9" ht="15.75" customHeight="1">
      <c r="A42" s="193" t="s">
        <v>83</v>
      </c>
      <c r="B42" s="10"/>
      <c r="C42" s="10"/>
      <c r="D42" s="10"/>
      <c r="E42" s="155"/>
      <c r="F42" s="91">
        <f>SUM(F43)</f>
        <v>127000</v>
      </c>
      <c r="G42" s="91">
        <f>SUM(G43)</f>
        <v>127000</v>
      </c>
      <c r="H42" s="91">
        <f>SUM(H43)</f>
        <v>92710</v>
      </c>
      <c r="I42" s="194">
        <f t="shared" si="0"/>
        <v>0.73</v>
      </c>
    </row>
    <row r="43" spans="1:9" ht="15.75" customHeight="1">
      <c r="A43" s="195" t="s">
        <v>8</v>
      </c>
      <c r="B43" s="16"/>
      <c r="C43" s="16" t="s">
        <v>9</v>
      </c>
      <c r="D43" s="16"/>
      <c r="E43" s="153"/>
      <c r="F43" s="127">
        <f>F44+F45</f>
        <v>127000</v>
      </c>
      <c r="G43" s="127">
        <f>G44+G45</f>
        <v>127000</v>
      </c>
      <c r="H43" s="127">
        <f>H44+H45</f>
        <v>92710</v>
      </c>
      <c r="I43" s="196">
        <f t="shared" si="0"/>
        <v>0.73</v>
      </c>
    </row>
    <row r="44" spans="1:9" ht="15.75" customHeight="1">
      <c r="A44" s="195"/>
      <c r="B44" s="17"/>
      <c r="C44" s="17" t="s">
        <v>48</v>
      </c>
      <c r="D44" s="17"/>
      <c r="E44" s="131" t="s">
        <v>84</v>
      </c>
      <c r="F44" s="127">
        <v>100000</v>
      </c>
      <c r="G44" s="127">
        <v>100000</v>
      </c>
      <c r="H44" s="127">
        <v>73000</v>
      </c>
      <c r="I44" s="196">
        <f t="shared" si="0"/>
        <v>0.73</v>
      </c>
    </row>
    <row r="45" spans="1:9" ht="15.75" customHeight="1">
      <c r="A45" s="195"/>
      <c r="B45" s="17"/>
      <c r="C45" s="17" t="s">
        <v>52</v>
      </c>
      <c r="D45" s="17"/>
      <c r="E45" s="131" t="s">
        <v>53</v>
      </c>
      <c r="F45" s="127">
        <v>27000</v>
      </c>
      <c r="G45" s="127">
        <v>27000</v>
      </c>
      <c r="H45" s="127">
        <v>19710</v>
      </c>
      <c r="I45" s="196">
        <f t="shared" si="0"/>
        <v>0.73</v>
      </c>
    </row>
    <row r="46" spans="1:9" ht="15.75" customHeight="1">
      <c r="A46" s="197"/>
      <c r="B46" s="17"/>
      <c r="C46" s="17"/>
      <c r="D46" s="17"/>
      <c r="E46" s="131"/>
      <c r="F46" s="127"/>
      <c r="G46" s="154"/>
      <c r="H46" s="127"/>
      <c r="I46" s="196"/>
    </row>
    <row r="47" spans="1:9" ht="15.75" customHeight="1">
      <c r="A47" s="193" t="s">
        <v>85</v>
      </c>
      <c r="B47" s="10"/>
      <c r="C47" s="10"/>
      <c r="D47" s="10"/>
      <c r="E47" s="155"/>
      <c r="F47" s="91">
        <f>SUM(F48)</f>
        <v>83085000</v>
      </c>
      <c r="G47" s="91">
        <f>SUM(G48)</f>
        <v>89555000</v>
      </c>
      <c r="H47" s="91">
        <f>SUM(H48)</f>
        <v>90327803</v>
      </c>
      <c r="I47" s="194">
        <f t="shared" si="0"/>
        <v>1.0086293674278377</v>
      </c>
    </row>
    <row r="48" spans="1:9" ht="15.75" customHeight="1">
      <c r="A48" s="195" t="s">
        <v>8</v>
      </c>
      <c r="B48" s="16"/>
      <c r="C48" s="16" t="s">
        <v>9</v>
      </c>
      <c r="D48" s="16"/>
      <c r="E48" s="153"/>
      <c r="F48" s="66">
        <f>F49+F52+F53+F54</f>
        <v>83085000</v>
      </c>
      <c r="G48" s="66">
        <f>G49+G52+G53+G54</f>
        <v>89555000</v>
      </c>
      <c r="H48" s="66">
        <f>H49+H52+H53+H54</f>
        <v>90327803</v>
      </c>
      <c r="I48" s="196">
        <f t="shared" si="0"/>
        <v>1.0086293674278377</v>
      </c>
    </row>
    <row r="49" spans="1:9" ht="15.75" customHeight="1">
      <c r="A49" s="197"/>
      <c r="B49" s="17"/>
      <c r="C49" s="17" t="s">
        <v>48</v>
      </c>
      <c r="D49" s="17" t="s">
        <v>84</v>
      </c>
      <c r="E49" s="131"/>
      <c r="F49" s="127">
        <f>SUM(F50:F51)</f>
        <v>55600000</v>
      </c>
      <c r="G49" s="127">
        <f>SUM(G50:G51)</f>
        <v>67600000</v>
      </c>
      <c r="H49" s="127">
        <f>SUM(H50:H51)</f>
        <v>68251869</v>
      </c>
      <c r="I49" s="196">
        <f t="shared" si="0"/>
        <v>1.0096430325443786</v>
      </c>
    </row>
    <row r="50" spans="1:9" ht="15.75" customHeight="1">
      <c r="A50" s="197"/>
      <c r="B50" s="17"/>
      <c r="C50" s="17"/>
      <c r="D50" s="17"/>
      <c r="E50" s="131" t="s">
        <v>86</v>
      </c>
      <c r="F50" s="93">
        <v>55000000</v>
      </c>
      <c r="G50" s="93">
        <v>67000000</v>
      </c>
      <c r="H50" s="93">
        <v>67935699</v>
      </c>
      <c r="I50" s="196">
        <f t="shared" si="0"/>
        <v>1.013965656716418</v>
      </c>
    </row>
    <row r="51" spans="1:9" ht="15.75" customHeight="1">
      <c r="A51" s="197"/>
      <c r="B51" s="17"/>
      <c r="C51" s="17"/>
      <c r="D51" s="17"/>
      <c r="E51" s="131" t="s">
        <v>87</v>
      </c>
      <c r="F51" s="127">
        <v>600000</v>
      </c>
      <c r="G51" s="127">
        <v>600000</v>
      </c>
      <c r="H51" s="127">
        <v>316170</v>
      </c>
      <c r="I51" s="196">
        <f t="shared" si="0"/>
        <v>0.52695</v>
      </c>
    </row>
    <row r="52" spans="1:9" ht="15.75" customHeight="1">
      <c r="A52" s="197"/>
      <c r="B52" s="17"/>
      <c r="C52" s="17" t="s">
        <v>88</v>
      </c>
      <c r="D52" s="17" t="s">
        <v>89</v>
      </c>
      <c r="E52" s="131"/>
      <c r="F52" s="127">
        <v>1000000</v>
      </c>
      <c r="G52" s="127">
        <v>1355000</v>
      </c>
      <c r="H52" s="127">
        <v>1292357</v>
      </c>
      <c r="I52" s="196">
        <f t="shared" si="0"/>
        <v>0.9537690036900369</v>
      </c>
    </row>
    <row r="53" spans="1:9" ht="15.75" customHeight="1">
      <c r="A53" s="197"/>
      <c r="B53" s="17"/>
      <c r="C53" s="17" t="s">
        <v>52</v>
      </c>
      <c r="D53" s="17" t="s">
        <v>53</v>
      </c>
      <c r="E53" s="131"/>
      <c r="F53" s="93">
        <v>15485000</v>
      </c>
      <c r="G53" s="93">
        <v>18600000</v>
      </c>
      <c r="H53" s="93">
        <v>18691577</v>
      </c>
      <c r="I53" s="196">
        <f t="shared" si="0"/>
        <v>1.0049234946236558</v>
      </c>
    </row>
    <row r="54" spans="1:9" ht="15.75" customHeight="1">
      <c r="A54" s="197"/>
      <c r="B54" s="17"/>
      <c r="C54" s="17" t="s">
        <v>90</v>
      </c>
      <c r="D54" s="17" t="s">
        <v>91</v>
      </c>
      <c r="E54" s="131"/>
      <c r="F54" s="92">
        <v>11000000</v>
      </c>
      <c r="G54" s="164">
        <v>2000000</v>
      </c>
      <c r="H54" s="164">
        <v>2092000</v>
      </c>
      <c r="I54" s="196">
        <f t="shared" si="0"/>
        <v>1.046</v>
      </c>
    </row>
    <row r="55" spans="1:9" ht="15.75" customHeight="1">
      <c r="A55" s="197"/>
      <c r="B55" s="17"/>
      <c r="C55" s="17"/>
      <c r="D55" s="17"/>
      <c r="E55" s="131"/>
      <c r="F55" s="127"/>
      <c r="G55" s="154"/>
      <c r="H55" s="190"/>
      <c r="I55" s="196"/>
    </row>
    <row r="56" spans="1:9" ht="15.75" customHeight="1">
      <c r="A56" s="200" t="s">
        <v>92</v>
      </c>
      <c r="B56" s="20"/>
      <c r="C56" s="20"/>
      <c r="D56" s="20"/>
      <c r="E56" s="132"/>
      <c r="F56" s="91">
        <f>F57</f>
        <v>116912542</v>
      </c>
      <c r="G56" s="91">
        <f>G57+G64</f>
        <v>133164850</v>
      </c>
      <c r="H56" s="91">
        <f>H57+H64</f>
        <v>133164850</v>
      </c>
      <c r="I56" s="194">
        <f t="shared" si="0"/>
        <v>1</v>
      </c>
    </row>
    <row r="57" spans="1:9" ht="15.75" customHeight="1">
      <c r="A57" s="195" t="s">
        <v>4</v>
      </c>
      <c r="B57" s="16"/>
      <c r="C57" s="16" t="s">
        <v>5</v>
      </c>
      <c r="D57" s="16"/>
      <c r="E57" s="131"/>
      <c r="F57" s="66">
        <f>F58</f>
        <v>116912542</v>
      </c>
      <c r="G57" s="66">
        <f>G58</f>
        <v>120711281</v>
      </c>
      <c r="H57" s="66">
        <f>H58</f>
        <v>120711281</v>
      </c>
      <c r="I57" s="196">
        <f t="shared" si="0"/>
        <v>1</v>
      </c>
    </row>
    <row r="58" spans="1:9" ht="15.75" customHeight="1">
      <c r="A58" s="197"/>
      <c r="B58" s="16" t="s">
        <v>93</v>
      </c>
      <c r="C58" s="17"/>
      <c r="D58" s="17" t="s">
        <v>94</v>
      </c>
      <c r="E58" s="131"/>
      <c r="F58" s="127">
        <f>SUM(F59:F62)</f>
        <v>116912542</v>
      </c>
      <c r="G58" s="127">
        <f>SUM(G59:G63)</f>
        <v>120711281</v>
      </c>
      <c r="H58" s="127">
        <f>SUM(H59:H63)</f>
        <v>120711281</v>
      </c>
      <c r="I58" s="196">
        <f t="shared" si="0"/>
        <v>1</v>
      </c>
    </row>
    <row r="59" spans="1:9" ht="15.75" customHeight="1">
      <c r="A59" s="195"/>
      <c r="B59" s="16"/>
      <c r="C59" s="17" t="s">
        <v>95</v>
      </c>
      <c r="D59" s="17" t="s">
        <v>96</v>
      </c>
      <c r="E59" s="131"/>
      <c r="F59" s="127">
        <v>61636657</v>
      </c>
      <c r="G59" s="127">
        <v>63515111</v>
      </c>
      <c r="H59" s="127">
        <v>63515111</v>
      </c>
      <c r="I59" s="196">
        <f t="shared" si="0"/>
        <v>1</v>
      </c>
    </row>
    <row r="60" spans="1:9" ht="15.75" customHeight="1">
      <c r="A60" s="197"/>
      <c r="B60" s="16"/>
      <c r="C60" s="17" t="s">
        <v>97</v>
      </c>
      <c r="D60" s="17" t="s">
        <v>98</v>
      </c>
      <c r="E60" s="131"/>
      <c r="F60" s="127">
        <v>27039150</v>
      </c>
      <c r="G60" s="127">
        <v>26360050</v>
      </c>
      <c r="H60" s="127">
        <v>26360050</v>
      </c>
      <c r="I60" s="196">
        <f t="shared" si="0"/>
        <v>1</v>
      </c>
    </row>
    <row r="61" spans="1:9" ht="15.75" customHeight="1">
      <c r="A61" s="197"/>
      <c r="B61" s="16"/>
      <c r="C61" s="17" t="s">
        <v>99</v>
      </c>
      <c r="D61" s="17" t="s">
        <v>100</v>
      </c>
      <c r="E61" s="131"/>
      <c r="F61" s="127">
        <v>26436735</v>
      </c>
      <c r="G61" s="127">
        <v>20578610</v>
      </c>
      <c r="H61" s="127">
        <v>20578610</v>
      </c>
      <c r="I61" s="196">
        <f t="shared" si="0"/>
        <v>1</v>
      </c>
    </row>
    <row r="62" spans="1:9" ht="15.75" customHeight="1">
      <c r="A62" s="197"/>
      <c r="B62" s="16"/>
      <c r="C62" s="17" t="s">
        <v>101</v>
      </c>
      <c r="D62" s="17" t="s">
        <v>102</v>
      </c>
      <c r="E62" s="131"/>
      <c r="F62" s="92">
        <v>1800000</v>
      </c>
      <c r="G62" s="92">
        <v>2030000</v>
      </c>
      <c r="H62" s="127">
        <v>2030000</v>
      </c>
      <c r="I62" s="196">
        <f t="shared" si="0"/>
        <v>1</v>
      </c>
    </row>
    <row r="63" spans="1:9" ht="36" customHeight="1">
      <c r="A63" s="197"/>
      <c r="B63" s="16"/>
      <c r="C63" s="17" t="s">
        <v>103</v>
      </c>
      <c r="D63" s="308" t="s">
        <v>413</v>
      </c>
      <c r="E63" s="309"/>
      <c r="F63" s="92"/>
      <c r="G63" s="92">
        <v>8227510</v>
      </c>
      <c r="H63" s="127">
        <v>8227510</v>
      </c>
      <c r="I63" s="196">
        <f t="shared" si="0"/>
        <v>1</v>
      </c>
    </row>
    <row r="64" spans="1:9" ht="15.75">
      <c r="A64" s="198" t="s">
        <v>13</v>
      </c>
      <c r="B64" s="18"/>
      <c r="C64" s="315" t="s">
        <v>14</v>
      </c>
      <c r="D64" s="316"/>
      <c r="E64" s="317"/>
      <c r="F64" s="92"/>
      <c r="G64" s="94">
        <f>SUM(G65)</f>
        <v>12453569</v>
      </c>
      <c r="H64" s="94">
        <f>SUM(H65)</f>
        <v>12453569</v>
      </c>
      <c r="I64" s="196">
        <f t="shared" si="0"/>
        <v>1</v>
      </c>
    </row>
    <row r="65" spans="1:9" ht="15.75">
      <c r="A65" s="198"/>
      <c r="B65" s="18" t="s">
        <v>106</v>
      </c>
      <c r="C65" s="19"/>
      <c r="D65" s="311" t="s">
        <v>415</v>
      </c>
      <c r="E65" s="312"/>
      <c r="F65" s="92"/>
      <c r="G65" s="92">
        <f>SUM(G66)</f>
        <v>12453569</v>
      </c>
      <c r="H65" s="92">
        <v>12453569</v>
      </c>
      <c r="I65" s="196">
        <f t="shared" si="0"/>
        <v>1</v>
      </c>
    </row>
    <row r="66" spans="1:9" ht="33" customHeight="1">
      <c r="A66" s="198"/>
      <c r="B66" s="18"/>
      <c r="C66" s="19" t="s">
        <v>414</v>
      </c>
      <c r="D66" s="313" t="s">
        <v>416</v>
      </c>
      <c r="E66" s="314"/>
      <c r="F66" s="92"/>
      <c r="G66" s="92">
        <v>12453569</v>
      </c>
      <c r="H66" s="127">
        <v>12453569</v>
      </c>
      <c r="I66" s="196">
        <f t="shared" si="0"/>
        <v>1</v>
      </c>
    </row>
    <row r="67" spans="1:9" ht="15.75" customHeight="1">
      <c r="A67" s="198"/>
      <c r="B67" s="18"/>
      <c r="C67" s="19"/>
      <c r="D67" s="18"/>
      <c r="E67" s="160"/>
      <c r="F67" s="92"/>
      <c r="G67" s="154"/>
      <c r="H67" s="127"/>
      <c r="I67" s="196"/>
    </row>
    <row r="68" spans="1:9" ht="15.75" customHeight="1">
      <c r="A68" s="200" t="s">
        <v>107</v>
      </c>
      <c r="B68" s="20"/>
      <c r="C68" s="20"/>
      <c r="D68" s="20"/>
      <c r="E68" s="132"/>
      <c r="F68" s="91">
        <f aca="true" t="shared" si="1" ref="F68:H69">F69</f>
        <v>7000000</v>
      </c>
      <c r="G68" s="91">
        <f t="shared" si="1"/>
        <v>5225108</v>
      </c>
      <c r="H68" s="91">
        <f t="shared" si="1"/>
        <v>5225108</v>
      </c>
      <c r="I68" s="194">
        <f t="shared" si="0"/>
        <v>1</v>
      </c>
    </row>
    <row r="69" spans="1:9" ht="15.75" customHeight="1">
      <c r="A69" s="195" t="s">
        <v>20</v>
      </c>
      <c r="B69" s="16"/>
      <c r="C69" s="16" t="s">
        <v>19</v>
      </c>
      <c r="D69" s="16"/>
      <c r="E69" s="131"/>
      <c r="F69" s="127">
        <f t="shared" si="1"/>
        <v>7000000</v>
      </c>
      <c r="G69" s="127">
        <f t="shared" si="1"/>
        <v>5225108</v>
      </c>
      <c r="H69" s="127">
        <f t="shared" si="1"/>
        <v>5225108</v>
      </c>
      <c r="I69" s="196">
        <f t="shared" si="0"/>
        <v>1</v>
      </c>
    </row>
    <row r="70" spans="1:9" ht="15.75" customHeight="1">
      <c r="A70" s="197"/>
      <c r="B70" s="17"/>
      <c r="C70" s="17" t="s">
        <v>108</v>
      </c>
      <c r="D70" s="17"/>
      <c r="E70" s="131" t="s">
        <v>109</v>
      </c>
      <c r="F70" s="127">
        <v>7000000</v>
      </c>
      <c r="G70" s="127">
        <v>5225108</v>
      </c>
      <c r="H70" s="127">
        <v>5225108</v>
      </c>
      <c r="I70" s="196">
        <f t="shared" si="0"/>
        <v>1</v>
      </c>
    </row>
    <row r="71" spans="1:9" ht="15.75" customHeight="1">
      <c r="A71" s="197"/>
      <c r="B71" s="17"/>
      <c r="C71" s="17"/>
      <c r="D71" s="17"/>
      <c r="E71" s="131"/>
      <c r="F71" s="92"/>
      <c r="G71" s="154"/>
      <c r="H71" s="127"/>
      <c r="I71" s="196"/>
    </row>
    <row r="72" spans="1:9" ht="15.75" customHeight="1">
      <c r="A72" s="200" t="s">
        <v>110</v>
      </c>
      <c r="B72" s="20"/>
      <c r="C72" s="20"/>
      <c r="D72" s="20"/>
      <c r="E72" s="132"/>
      <c r="F72" s="91">
        <f>F73+F79+F77</f>
        <v>205592619</v>
      </c>
      <c r="G72" s="91">
        <f>G73+G79+G77</f>
        <v>237834263</v>
      </c>
      <c r="H72" s="91">
        <f>H73+H79+H77</f>
        <v>238144456</v>
      </c>
      <c r="I72" s="194">
        <f t="shared" si="0"/>
        <v>1.0013042401716525</v>
      </c>
    </row>
    <row r="73" spans="1:9" ht="15.75" customHeight="1">
      <c r="A73" s="195" t="s">
        <v>4</v>
      </c>
      <c r="B73" s="16"/>
      <c r="C73" s="16" t="s">
        <v>5</v>
      </c>
      <c r="D73" s="16"/>
      <c r="E73" s="131"/>
      <c r="F73" s="94">
        <f>F74</f>
        <v>5592619</v>
      </c>
      <c r="G73" s="94">
        <f>G74</f>
        <v>4933965</v>
      </c>
      <c r="H73" s="94">
        <f>H74</f>
        <v>5244158</v>
      </c>
      <c r="I73" s="196">
        <f t="shared" si="0"/>
        <v>1.0628689096902795</v>
      </c>
    </row>
    <row r="74" spans="1:9" ht="15.75" customHeight="1">
      <c r="A74" s="197"/>
      <c r="B74" s="17" t="s">
        <v>46</v>
      </c>
      <c r="C74" s="17"/>
      <c r="D74" s="17" t="s">
        <v>111</v>
      </c>
      <c r="E74" s="131"/>
      <c r="F74" s="92">
        <f>F75+F76</f>
        <v>5592619</v>
      </c>
      <c r="G74" s="92">
        <f>G75+G76</f>
        <v>4933965</v>
      </c>
      <c r="H74" s="92">
        <f>H75+H76</f>
        <v>5244158</v>
      </c>
      <c r="I74" s="196">
        <f t="shared" si="0"/>
        <v>1.0628689096902795</v>
      </c>
    </row>
    <row r="75" spans="1:9" ht="15.75" customHeight="1">
      <c r="A75" s="201"/>
      <c r="B75" s="21"/>
      <c r="C75" s="21"/>
      <c r="D75" s="21"/>
      <c r="E75" s="156" t="s">
        <v>112</v>
      </c>
      <c r="F75" s="92">
        <v>1465819</v>
      </c>
      <c r="G75" s="92">
        <v>807165</v>
      </c>
      <c r="H75" s="127">
        <v>467858</v>
      </c>
      <c r="I75" s="196">
        <f aca="true" t="shared" si="2" ref="I75:I138">H75/G75</f>
        <v>0.5796311782597114</v>
      </c>
    </row>
    <row r="76" spans="1:9" ht="15.75" customHeight="1">
      <c r="A76" s="201"/>
      <c r="B76" s="22" t="s">
        <v>46</v>
      </c>
      <c r="C76" s="21"/>
      <c r="D76" s="21"/>
      <c r="E76" s="131" t="s">
        <v>417</v>
      </c>
      <c r="F76" s="92">
        <v>4126800</v>
      </c>
      <c r="G76" s="92">
        <v>4126800</v>
      </c>
      <c r="H76" s="127">
        <f>4763800+12500</f>
        <v>4776300</v>
      </c>
      <c r="I76" s="196">
        <f t="shared" si="2"/>
        <v>1.1573858679848794</v>
      </c>
    </row>
    <row r="77" spans="1:9" ht="15.75" customHeight="1">
      <c r="A77" s="195" t="s">
        <v>13</v>
      </c>
      <c r="B77" s="22"/>
      <c r="C77" s="302" t="s">
        <v>14</v>
      </c>
      <c r="D77" s="303"/>
      <c r="E77" s="303"/>
      <c r="F77" s="94">
        <f>SUM(F78:F78)</f>
        <v>0</v>
      </c>
      <c r="G77" s="94">
        <f>SUM(G78:G78)</f>
        <v>29000000</v>
      </c>
      <c r="H77" s="94">
        <f>SUM(H78:H78)</f>
        <v>29000000</v>
      </c>
      <c r="I77" s="196">
        <f t="shared" si="2"/>
        <v>1</v>
      </c>
    </row>
    <row r="78" spans="1:9" ht="15.75" customHeight="1">
      <c r="A78" s="201"/>
      <c r="B78" s="22" t="s">
        <v>394</v>
      </c>
      <c r="C78" s="21"/>
      <c r="D78" s="304" t="s">
        <v>395</v>
      </c>
      <c r="E78" s="305"/>
      <c r="F78" s="92">
        <v>0</v>
      </c>
      <c r="G78" s="92">
        <v>29000000</v>
      </c>
      <c r="H78" s="202">
        <v>29000000</v>
      </c>
      <c r="I78" s="196">
        <f t="shared" si="2"/>
        <v>1</v>
      </c>
    </row>
    <row r="79" spans="1:9" ht="15.75" customHeight="1">
      <c r="A79" s="195" t="s">
        <v>20</v>
      </c>
      <c r="B79" s="16"/>
      <c r="C79" s="16" t="s">
        <v>19</v>
      </c>
      <c r="D79" s="16"/>
      <c r="E79" s="153"/>
      <c r="F79" s="66">
        <f>SUM(F80)</f>
        <v>200000000</v>
      </c>
      <c r="G79" s="66">
        <f>SUM(G80)</f>
        <v>203900298</v>
      </c>
      <c r="H79" s="66">
        <f>SUM(H80)</f>
        <v>203900298</v>
      </c>
      <c r="I79" s="196">
        <f t="shared" si="2"/>
        <v>1</v>
      </c>
    </row>
    <row r="80" spans="1:9" ht="15.75" customHeight="1">
      <c r="A80" s="197"/>
      <c r="B80" s="17" t="s">
        <v>113</v>
      </c>
      <c r="C80" s="17"/>
      <c r="D80" s="17" t="s">
        <v>114</v>
      </c>
      <c r="E80" s="131"/>
      <c r="F80" s="127">
        <f>F81</f>
        <v>200000000</v>
      </c>
      <c r="G80" s="127">
        <f>G81</f>
        <v>203900298</v>
      </c>
      <c r="H80" s="127">
        <f>H81</f>
        <v>203900298</v>
      </c>
      <c r="I80" s="196">
        <f t="shared" si="2"/>
        <v>1</v>
      </c>
    </row>
    <row r="81" spans="1:9" ht="15.75" customHeight="1">
      <c r="A81" s="197"/>
      <c r="B81" s="17"/>
      <c r="C81" s="17" t="s">
        <v>115</v>
      </c>
      <c r="D81" s="17"/>
      <c r="E81" s="131" t="s">
        <v>116</v>
      </c>
      <c r="F81" s="127">
        <v>200000000</v>
      </c>
      <c r="G81" s="127">
        <v>203900298</v>
      </c>
      <c r="H81" s="127">
        <v>203900298</v>
      </c>
      <c r="I81" s="196">
        <f t="shared" si="2"/>
        <v>1</v>
      </c>
    </row>
    <row r="82" spans="1:9" ht="15.75" customHeight="1">
      <c r="A82" s="197"/>
      <c r="B82" s="17"/>
      <c r="C82" s="17"/>
      <c r="D82" s="17"/>
      <c r="E82" s="131"/>
      <c r="F82" s="127"/>
      <c r="G82" s="154"/>
      <c r="H82" s="127"/>
      <c r="I82" s="196"/>
    </row>
    <row r="83" spans="1:9" ht="15.75" customHeight="1">
      <c r="A83" s="193" t="s">
        <v>117</v>
      </c>
      <c r="B83" s="10"/>
      <c r="C83" s="10"/>
      <c r="D83" s="23"/>
      <c r="E83" s="157"/>
      <c r="F83" s="91">
        <f aca="true" t="shared" si="3" ref="F83:H84">F84</f>
        <v>5000000</v>
      </c>
      <c r="G83" s="91">
        <f t="shared" si="3"/>
        <v>3000000</v>
      </c>
      <c r="H83" s="91">
        <f t="shared" si="3"/>
        <v>2179947</v>
      </c>
      <c r="I83" s="194">
        <f t="shared" si="2"/>
        <v>0.726649</v>
      </c>
    </row>
    <row r="84" spans="1:9" ht="15.75" customHeight="1">
      <c r="A84" s="195" t="s">
        <v>4</v>
      </c>
      <c r="B84" s="16"/>
      <c r="C84" s="16" t="s">
        <v>5</v>
      </c>
      <c r="D84" s="16"/>
      <c r="E84" s="131"/>
      <c r="F84" s="127">
        <f t="shared" si="3"/>
        <v>5000000</v>
      </c>
      <c r="G84" s="127">
        <f t="shared" si="3"/>
        <v>3000000</v>
      </c>
      <c r="H84" s="127">
        <f t="shared" si="3"/>
        <v>2179947</v>
      </c>
      <c r="I84" s="196">
        <f t="shared" si="2"/>
        <v>0.726649</v>
      </c>
    </row>
    <row r="85" spans="1:9" ht="15.75" customHeight="1">
      <c r="A85" s="197"/>
      <c r="B85" s="17" t="s">
        <v>46</v>
      </c>
      <c r="C85" s="17"/>
      <c r="D85" s="17" t="s">
        <v>111</v>
      </c>
      <c r="E85" s="131"/>
      <c r="F85" s="127">
        <v>5000000</v>
      </c>
      <c r="G85" s="127">
        <v>3000000</v>
      </c>
      <c r="H85" s="127">
        <v>2179947</v>
      </c>
      <c r="I85" s="196">
        <f t="shared" si="2"/>
        <v>0.726649</v>
      </c>
    </row>
    <row r="86" spans="1:9" ht="15.75" customHeight="1">
      <c r="A86" s="197"/>
      <c r="B86" s="17"/>
      <c r="C86" s="17"/>
      <c r="D86" s="17"/>
      <c r="E86" s="131"/>
      <c r="F86" s="127"/>
      <c r="G86" s="154"/>
      <c r="H86" s="127"/>
      <c r="I86" s="196"/>
    </row>
    <row r="87" spans="1:9" ht="15.75" customHeight="1">
      <c r="A87" s="193" t="s">
        <v>356</v>
      </c>
      <c r="B87" s="10"/>
      <c r="C87" s="10"/>
      <c r="D87" s="23"/>
      <c r="E87" s="157"/>
      <c r="F87" s="91">
        <f>F88</f>
        <v>508000</v>
      </c>
      <c r="G87" s="91">
        <f>G88</f>
        <v>508000</v>
      </c>
      <c r="H87" s="91">
        <f>H88</f>
        <v>370000</v>
      </c>
      <c r="I87" s="194">
        <f t="shared" si="2"/>
        <v>0.7283464566929134</v>
      </c>
    </row>
    <row r="88" spans="1:9" ht="15.75" customHeight="1">
      <c r="A88" s="195" t="s">
        <v>8</v>
      </c>
      <c r="B88" s="16"/>
      <c r="C88" s="16" t="s">
        <v>9</v>
      </c>
      <c r="D88" s="16"/>
      <c r="E88" s="153"/>
      <c r="F88" s="66">
        <f>SUM(F89:F90)</f>
        <v>508000</v>
      </c>
      <c r="G88" s="66">
        <f>SUM(G89:G90)</f>
        <v>508000</v>
      </c>
      <c r="H88" s="66">
        <f>SUM(H89:H90)</f>
        <v>370000</v>
      </c>
      <c r="I88" s="196">
        <f t="shared" si="2"/>
        <v>0.7283464566929134</v>
      </c>
    </row>
    <row r="89" spans="1:9" ht="15.75" customHeight="1">
      <c r="A89" s="197"/>
      <c r="B89" s="17"/>
      <c r="C89" s="17" t="s">
        <v>48</v>
      </c>
      <c r="D89" s="17" t="s">
        <v>125</v>
      </c>
      <c r="E89" s="131"/>
      <c r="F89" s="127">
        <v>400000</v>
      </c>
      <c r="G89" s="127">
        <v>400000</v>
      </c>
      <c r="H89" s="127">
        <v>291334</v>
      </c>
      <c r="I89" s="196">
        <f t="shared" si="2"/>
        <v>0.728335</v>
      </c>
    </row>
    <row r="90" spans="1:9" ht="15.75" customHeight="1">
      <c r="A90" s="197"/>
      <c r="B90" s="17"/>
      <c r="C90" s="17" t="s">
        <v>52</v>
      </c>
      <c r="D90" s="17" t="s">
        <v>53</v>
      </c>
      <c r="E90" s="131"/>
      <c r="F90" s="127">
        <v>108000</v>
      </c>
      <c r="G90" s="127">
        <v>108000</v>
      </c>
      <c r="H90" s="127">
        <v>78666</v>
      </c>
      <c r="I90" s="196">
        <f t="shared" si="2"/>
        <v>0.7283888888888889</v>
      </c>
    </row>
    <row r="91" spans="1:9" ht="15.75" customHeight="1">
      <c r="A91" s="197"/>
      <c r="B91" s="17"/>
      <c r="C91" s="17"/>
      <c r="D91" s="17"/>
      <c r="E91" s="131"/>
      <c r="F91" s="127"/>
      <c r="G91" s="154"/>
      <c r="H91" s="127"/>
      <c r="I91" s="196"/>
    </row>
    <row r="92" spans="1:9" ht="15.75" customHeight="1">
      <c r="A92" s="193" t="s">
        <v>118</v>
      </c>
      <c r="B92" s="10"/>
      <c r="C92" s="10"/>
      <c r="D92" s="10"/>
      <c r="E92" s="155"/>
      <c r="F92" s="91">
        <f>F93+F96</f>
        <v>127000</v>
      </c>
      <c r="G92" s="91">
        <f>G93+G96</f>
        <v>1121355</v>
      </c>
      <c r="H92" s="91">
        <f>H93+H96</f>
        <v>1121384</v>
      </c>
      <c r="I92" s="194">
        <f t="shared" si="2"/>
        <v>1.000025861569262</v>
      </c>
    </row>
    <row r="93" spans="1:9" ht="15.75" customHeight="1">
      <c r="A93" s="195" t="s">
        <v>8</v>
      </c>
      <c r="B93" s="16"/>
      <c r="C93" s="16" t="s">
        <v>9</v>
      </c>
      <c r="D93" s="16"/>
      <c r="E93" s="153"/>
      <c r="F93" s="66">
        <f>SUM(F94:F95)</f>
        <v>127000</v>
      </c>
      <c r="G93" s="66">
        <f>SUM(G94:G95)</f>
        <v>278760</v>
      </c>
      <c r="H93" s="66">
        <f>SUM(H94:H95)</f>
        <v>278760</v>
      </c>
      <c r="I93" s="196">
        <f t="shared" si="2"/>
        <v>1</v>
      </c>
    </row>
    <row r="94" spans="1:9" ht="15.75" customHeight="1">
      <c r="A94" s="197"/>
      <c r="B94" s="17"/>
      <c r="C94" s="17" t="s">
        <v>119</v>
      </c>
      <c r="D94" s="17" t="s">
        <v>120</v>
      </c>
      <c r="E94" s="131"/>
      <c r="F94" s="127">
        <v>100000</v>
      </c>
      <c r="G94" s="127">
        <v>219495</v>
      </c>
      <c r="H94" s="127">
        <v>219495</v>
      </c>
      <c r="I94" s="196">
        <f t="shared" si="2"/>
        <v>1</v>
      </c>
    </row>
    <row r="95" spans="1:9" ht="15.75" customHeight="1">
      <c r="A95" s="197"/>
      <c r="B95" s="17"/>
      <c r="C95" s="17" t="s">
        <v>52</v>
      </c>
      <c r="D95" s="17" t="s">
        <v>53</v>
      </c>
      <c r="E95" s="131"/>
      <c r="F95" s="127">
        <v>27000</v>
      </c>
      <c r="G95" s="127">
        <v>59265</v>
      </c>
      <c r="H95" s="127">
        <v>59265</v>
      </c>
      <c r="I95" s="196">
        <f t="shared" si="2"/>
        <v>1</v>
      </c>
    </row>
    <row r="96" spans="1:9" ht="15.75" customHeight="1">
      <c r="A96" s="195" t="s">
        <v>17</v>
      </c>
      <c r="B96" s="16"/>
      <c r="C96" s="16" t="s">
        <v>396</v>
      </c>
      <c r="D96" s="17"/>
      <c r="E96" s="131"/>
      <c r="F96" s="66">
        <f>SUM(F97)</f>
        <v>0</v>
      </c>
      <c r="G96" s="66">
        <f>SUM(G97)</f>
        <v>842595</v>
      </c>
      <c r="H96" s="66">
        <f>SUM(H97)</f>
        <v>842624</v>
      </c>
      <c r="I96" s="196">
        <f t="shared" si="2"/>
        <v>1.0000344174840818</v>
      </c>
    </row>
    <row r="97" spans="1:9" ht="15.75" customHeight="1">
      <c r="A97" s="197"/>
      <c r="B97" s="17"/>
      <c r="C97" s="17" t="s">
        <v>397</v>
      </c>
      <c r="D97" s="17" t="s">
        <v>398</v>
      </c>
      <c r="E97" s="131"/>
      <c r="F97" s="127">
        <v>0</v>
      </c>
      <c r="G97" s="127">
        <v>842595</v>
      </c>
      <c r="H97" s="127">
        <v>842624</v>
      </c>
      <c r="I97" s="196">
        <f t="shared" si="2"/>
        <v>1.0000344174840818</v>
      </c>
    </row>
    <row r="98" spans="1:9" ht="15.75" customHeight="1">
      <c r="A98" s="197"/>
      <c r="B98" s="17"/>
      <c r="C98" s="17"/>
      <c r="D98" s="17"/>
      <c r="E98" s="131"/>
      <c r="F98" s="127"/>
      <c r="G98" s="127"/>
      <c r="H98" s="127"/>
      <c r="I98" s="196"/>
    </row>
    <row r="99" spans="1:9" ht="15.75" customHeight="1">
      <c r="A99" s="193" t="s">
        <v>402</v>
      </c>
      <c r="B99" s="10"/>
      <c r="C99" s="10"/>
      <c r="D99" s="10"/>
      <c r="E99" s="155"/>
      <c r="F99" s="91">
        <f>SUM(F100)</f>
        <v>0</v>
      </c>
      <c r="G99" s="91">
        <f>G100</f>
        <v>12982946</v>
      </c>
      <c r="H99" s="91">
        <f>H100</f>
        <v>12982946</v>
      </c>
      <c r="I99" s="194">
        <f t="shared" si="2"/>
        <v>1</v>
      </c>
    </row>
    <row r="100" spans="1:9" ht="15.75" customHeight="1">
      <c r="A100" s="195" t="s">
        <v>13</v>
      </c>
      <c r="B100" s="17"/>
      <c r="C100" s="302" t="s">
        <v>14</v>
      </c>
      <c r="D100" s="303"/>
      <c r="E100" s="303"/>
      <c r="F100" s="127">
        <f>SUM(F101)</f>
        <v>0</v>
      </c>
      <c r="G100" s="65">
        <f>SUM(G101:G104)</f>
        <v>12982946</v>
      </c>
      <c r="H100" s="127">
        <f>SUM(H101:H104)</f>
        <v>12982946</v>
      </c>
      <c r="I100" s="196">
        <f t="shared" si="2"/>
        <v>1</v>
      </c>
    </row>
    <row r="101" spans="1:9" ht="15.75" customHeight="1">
      <c r="A101" s="197"/>
      <c r="B101" s="22" t="s">
        <v>394</v>
      </c>
      <c r="C101" s="21"/>
      <c r="D101" s="304" t="s">
        <v>403</v>
      </c>
      <c r="E101" s="305"/>
      <c r="F101" s="127">
        <v>0</v>
      </c>
      <c r="G101" s="65">
        <v>2000000</v>
      </c>
      <c r="H101" s="127">
        <v>2000000</v>
      </c>
      <c r="I101" s="196">
        <f t="shared" si="2"/>
        <v>1</v>
      </c>
    </row>
    <row r="102" spans="1:9" ht="15.75" customHeight="1">
      <c r="A102" s="197"/>
      <c r="B102" s="22" t="s">
        <v>422</v>
      </c>
      <c r="C102" s="21"/>
      <c r="D102" s="300" t="s">
        <v>418</v>
      </c>
      <c r="E102" s="301"/>
      <c r="F102" s="127"/>
      <c r="G102" s="163">
        <v>2979772</v>
      </c>
      <c r="H102" s="127">
        <v>2979772</v>
      </c>
      <c r="I102" s="196">
        <f t="shared" si="2"/>
        <v>1</v>
      </c>
    </row>
    <row r="103" spans="1:9" ht="15.75" customHeight="1">
      <c r="A103" s="197"/>
      <c r="B103" s="22"/>
      <c r="C103" s="21"/>
      <c r="D103" s="168" t="s">
        <v>419</v>
      </c>
      <c r="E103" s="161"/>
      <c r="F103" s="127"/>
      <c r="G103" s="163">
        <v>4601210</v>
      </c>
      <c r="H103" s="127">
        <v>4601210</v>
      </c>
      <c r="I103" s="196">
        <f t="shared" si="2"/>
        <v>1</v>
      </c>
    </row>
    <row r="104" spans="1:9" ht="15.75" customHeight="1">
      <c r="A104" s="197"/>
      <c r="B104" s="22"/>
      <c r="C104" s="21"/>
      <c r="D104" s="168" t="s">
        <v>420</v>
      </c>
      <c r="E104" s="161"/>
      <c r="F104" s="127"/>
      <c r="G104" s="163">
        <v>3401964</v>
      </c>
      <c r="H104" s="127">
        <v>3401964</v>
      </c>
      <c r="I104" s="196">
        <f t="shared" si="2"/>
        <v>1</v>
      </c>
    </row>
    <row r="105" spans="1:9" ht="15.75" customHeight="1">
      <c r="A105" s="197"/>
      <c r="B105" s="22"/>
      <c r="C105" s="21"/>
      <c r="D105" s="168"/>
      <c r="E105" s="161"/>
      <c r="F105" s="127"/>
      <c r="G105" s="163"/>
      <c r="H105" s="127"/>
      <c r="I105" s="196"/>
    </row>
    <row r="106" spans="1:9" ht="15.75" customHeight="1">
      <c r="A106" s="193" t="s">
        <v>433</v>
      </c>
      <c r="B106" s="10"/>
      <c r="C106" s="10"/>
      <c r="D106" s="10"/>
      <c r="E106" s="158"/>
      <c r="F106" s="91">
        <f>F107</f>
        <v>0</v>
      </c>
      <c r="G106" s="167">
        <f>G107</f>
        <v>29400</v>
      </c>
      <c r="H106" s="91">
        <f>H107</f>
        <v>29400</v>
      </c>
      <c r="I106" s="194">
        <f t="shared" si="2"/>
        <v>1</v>
      </c>
    </row>
    <row r="107" spans="1:9" ht="15.75" customHeight="1">
      <c r="A107" s="195" t="s">
        <v>10</v>
      </c>
      <c r="B107" s="16"/>
      <c r="C107" s="16" t="s">
        <v>11</v>
      </c>
      <c r="D107" s="168"/>
      <c r="E107" s="161"/>
      <c r="F107" s="127"/>
      <c r="G107" s="186">
        <f>SUM(G108)</f>
        <v>29400</v>
      </c>
      <c r="H107" s="163">
        <f>SUM(H108)</f>
        <v>29400</v>
      </c>
      <c r="I107" s="196">
        <f t="shared" si="2"/>
        <v>1</v>
      </c>
    </row>
    <row r="108" spans="1:9" ht="15.75" customHeight="1">
      <c r="A108" s="197"/>
      <c r="B108" s="17" t="s">
        <v>400</v>
      </c>
      <c r="C108" s="17"/>
      <c r="D108" s="17" t="s">
        <v>434</v>
      </c>
      <c r="E108" s="131"/>
      <c r="F108" s="127"/>
      <c r="G108" s="186">
        <v>29400</v>
      </c>
      <c r="H108" s="127">
        <v>29400</v>
      </c>
      <c r="I108" s="196">
        <f t="shared" si="2"/>
        <v>1</v>
      </c>
    </row>
    <row r="109" spans="1:9" ht="15.75" customHeight="1">
      <c r="A109" s="197"/>
      <c r="B109" s="17"/>
      <c r="C109" s="17"/>
      <c r="D109" s="17"/>
      <c r="E109" s="131"/>
      <c r="F109" s="127"/>
      <c r="G109" s="187"/>
      <c r="H109" s="127"/>
      <c r="I109" s="196"/>
    </row>
    <row r="110" spans="1:9" ht="15.75" customHeight="1">
      <c r="A110" s="193" t="s">
        <v>124</v>
      </c>
      <c r="B110" s="10"/>
      <c r="C110" s="10"/>
      <c r="D110" s="10"/>
      <c r="E110" s="158"/>
      <c r="F110" s="91">
        <f>F111</f>
        <v>31750000</v>
      </c>
      <c r="G110" s="167">
        <f>G111</f>
        <v>51035433</v>
      </c>
      <c r="H110" s="167">
        <f>H111</f>
        <v>51036621</v>
      </c>
      <c r="I110" s="194">
        <f t="shared" si="2"/>
        <v>1.0000232779449525</v>
      </c>
    </row>
    <row r="111" spans="1:9" ht="15.75" customHeight="1">
      <c r="A111" s="195" t="s">
        <v>8</v>
      </c>
      <c r="B111" s="16"/>
      <c r="C111" s="16" t="s">
        <v>9</v>
      </c>
      <c r="D111" s="16"/>
      <c r="E111" s="153"/>
      <c r="F111" s="127">
        <f>SUM(F112:F113)</f>
        <v>31750000</v>
      </c>
      <c r="G111" s="188">
        <f>SUM(G112:G114)</f>
        <v>51035433</v>
      </c>
      <c r="H111" s="188">
        <f>SUM(H112:H114)</f>
        <v>51036621</v>
      </c>
      <c r="I111" s="196">
        <f>H111/G111</f>
        <v>1.0000232779449525</v>
      </c>
    </row>
    <row r="112" spans="1:9" ht="15.75" customHeight="1">
      <c r="A112" s="197"/>
      <c r="B112" s="17"/>
      <c r="C112" s="17" t="s">
        <v>48</v>
      </c>
      <c r="D112" s="17" t="s">
        <v>125</v>
      </c>
      <c r="E112" s="131"/>
      <c r="F112" s="127">
        <v>25000000</v>
      </c>
      <c r="G112" s="188">
        <v>33123169</v>
      </c>
      <c r="H112" s="127">
        <v>33124113</v>
      </c>
      <c r="I112" s="196">
        <f t="shared" si="2"/>
        <v>1.0000284996885414</v>
      </c>
    </row>
    <row r="113" spans="1:9" ht="15.75" customHeight="1">
      <c r="A113" s="197"/>
      <c r="B113" s="17"/>
      <c r="C113" s="17" t="s">
        <v>52</v>
      </c>
      <c r="D113" s="17" t="s">
        <v>53</v>
      </c>
      <c r="E113" s="131"/>
      <c r="F113" s="127">
        <v>6750000</v>
      </c>
      <c r="G113" s="188">
        <v>8943264</v>
      </c>
      <c r="H113" s="127">
        <v>8943508</v>
      </c>
      <c r="I113" s="196">
        <f t="shared" si="2"/>
        <v>1.0000272831037975</v>
      </c>
    </row>
    <row r="114" spans="1:9" ht="15.75" customHeight="1">
      <c r="A114" s="197"/>
      <c r="B114" s="17"/>
      <c r="C114" s="17" t="s">
        <v>90</v>
      </c>
      <c r="D114" s="17" t="s">
        <v>91</v>
      </c>
      <c r="E114" s="131"/>
      <c r="F114" s="127">
        <v>0</v>
      </c>
      <c r="G114" s="188">
        <v>8969000</v>
      </c>
      <c r="H114" s="127">
        <v>8969000</v>
      </c>
      <c r="I114" s="196">
        <f t="shared" si="2"/>
        <v>1</v>
      </c>
    </row>
    <row r="115" spans="1:9" ht="15.75" customHeight="1">
      <c r="A115" s="197"/>
      <c r="B115" s="17"/>
      <c r="C115" s="17"/>
      <c r="D115" s="17"/>
      <c r="E115" s="131"/>
      <c r="F115" s="127"/>
      <c r="G115" s="187"/>
      <c r="H115" s="127"/>
      <c r="I115" s="196"/>
    </row>
    <row r="116" spans="1:9" ht="15.75" customHeight="1">
      <c r="A116" s="193" t="s">
        <v>126</v>
      </c>
      <c r="B116" s="10"/>
      <c r="C116" s="10"/>
      <c r="D116" s="10"/>
      <c r="E116" s="158"/>
      <c r="F116" s="91">
        <f>SUM(F117)</f>
        <v>127000</v>
      </c>
      <c r="G116" s="167">
        <f>SUM(G117)</f>
        <v>153350</v>
      </c>
      <c r="H116" s="167">
        <f>SUM(H117)</f>
        <v>153350</v>
      </c>
      <c r="I116" s="194">
        <f t="shared" si="2"/>
        <v>1</v>
      </c>
    </row>
    <row r="117" spans="1:9" ht="15.75" customHeight="1">
      <c r="A117" s="195" t="s">
        <v>8</v>
      </c>
      <c r="B117" s="16"/>
      <c r="C117" s="16" t="s">
        <v>9</v>
      </c>
      <c r="D117" s="16"/>
      <c r="E117" s="153"/>
      <c r="F117" s="127">
        <f>SUM(F118:F119)</f>
        <v>127000</v>
      </c>
      <c r="G117" s="188">
        <f>SUM(G118:G119)</f>
        <v>153350</v>
      </c>
      <c r="H117" s="188">
        <f>SUM(H118:H119)</f>
        <v>153350</v>
      </c>
      <c r="I117" s="196">
        <f t="shared" si="2"/>
        <v>1</v>
      </c>
    </row>
    <row r="118" spans="1:9" ht="15.75" customHeight="1">
      <c r="A118" s="197"/>
      <c r="B118" s="17"/>
      <c r="C118" s="17" t="s">
        <v>48</v>
      </c>
      <c r="D118" s="17" t="s">
        <v>125</v>
      </c>
      <c r="E118" s="131"/>
      <c r="F118" s="127">
        <v>100000</v>
      </c>
      <c r="G118" s="188">
        <v>120749</v>
      </c>
      <c r="H118" s="127">
        <v>120749</v>
      </c>
      <c r="I118" s="196">
        <f t="shared" si="2"/>
        <v>1</v>
      </c>
    </row>
    <row r="119" spans="1:9" ht="15.75" customHeight="1">
      <c r="A119" s="197"/>
      <c r="B119" s="17"/>
      <c r="C119" s="17" t="s">
        <v>52</v>
      </c>
      <c r="D119" s="17" t="s">
        <v>53</v>
      </c>
      <c r="E119" s="131"/>
      <c r="F119" s="127">
        <v>27000</v>
      </c>
      <c r="G119" s="188">
        <v>32601</v>
      </c>
      <c r="H119" s="127">
        <v>32601</v>
      </c>
      <c r="I119" s="196">
        <f t="shared" si="2"/>
        <v>1</v>
      </c>
    </row>
    <row r="120" spans="1:9" ht="15.75" customHeight="1">
      <c r="A120" s="197"/>
      <c r="B120" s="17"/>
      <c r="C120" s="17"/>
      <c r="D120" s="17"/>
      <c r="E120" s="131"/>
      <c r="F120" s="127"/>
      <c r="G120" s="187"/>
      <c r="H120" s="127"/>
      <c r="I120" s="196"/>
    </row>
    <row r="121" spans="1:9" ht="15.75" customHeight="1">
      <c r="A121" s="193" t="s">
        <v>399</v>
      </c>
      <c r="B121" s="10"/>
      <c r="C121" s="10"/>
      <c r="D121" s="10"/>
      <c r="E121" s="158"/>
      <c r="F121" s="91">
        <f>SUM(F122)</f>
        <v>0</v>
      </c>
      <c r="G121" s="167">
        <f>G122+G127+G124</f>
        <v>808080</v>
      </c>
      <c r="H121" s="167">
        <f>H122+H127+H124</f>
        <v>836880</v>
      </c>
      <c r="I121" s="194">
        <f t="shared" si="2"/>
        <v>1.0356400356400357</v>
      </c>
    </row>
    <row r="122" spans="1:9" ht="15.75" customHeight="1">
      <c r="A122" s="195" t="s">
        <v>4</v>
      </c>
      <c r="B122" s="17"/>
      <c r="C122" s="16" t="s">
        <v>5</v>
      </c>
      <c r="D122" s="17"/>
      <c r="E122" s="131"/>
      <c r="F122" s="65">
        <f>SUM(F123)</f>
        <v>0</v>
      </c>
      <c r="G122" s="166">
        <f>SUM(G123)</f>
        <v>500000</v>
      </c>
      <c r="H122" s="188">
        <f>SUM(H123)</f>
        <v>500000</v>
      </c>
      <c r="I122" s="196">
        <f t="shared" si="2"/>
        <v>1</v>
      </c>
    </row>
    <row r="123" spans="1:9" ht="15.75" customHeight="1">
      <c r="A123" s="195"/>
      <c r="B123" s="17" t="s">
        <v>46</v>
      </c>
      <c r="C123" s="17"/>
      <c r="D123" s="17" t="s">
        <v>47</v>
      </c>
      <c r="E123" s="131"/>
      <c r="F123" s="65">
        <v>0</v>
      </c>
      <c r="G123" s="166">
        <v>500000</v>
      </c>
      <c r="H123" s="127">
        <v>500000</v>
      </c>
      <c r="I123" s="196">
        <f t="shared" si="2"/>
        <v>1</v>
      </c>
    </row>
    <row r="124" spans="1:9" ht="15.75" customHeight="1">
      <c r="A124" s="195" t="s">
        <v>8</v>
      </c>
      <c r="B124" s="17"/>
      <c r="C124" s="16" t="s">
        <v>9</v>
      </c>
      <c r="D124" s="17"/>
      <c r="E124" s="131"/>
      <c r="F124" s="65"/>
      <c r="G124" s="166">
        <f>SUM(G125:G126)</f>
        <v>86880</v>
      </c>
      <c r="H124" s="188">
        <f>SUM(H125:H126)</f>
        <v>115680</v>
      </c>
      <c r="I124" s="196">
        <f t="shared" si="2"/>
        <v>1.3314917127071824</v>
      </c>
    </row>
    <row r="125" spans="1:9" ht="15.75" customHeight="1">
      <c r="A125" s="195"/>
      <c r="B125" s="17"/>
      <c r="C125" s="17" t="s">
        <v>48</v>
      </c>
      <c r="D125" s="17" t="s">
        <v>125</v>
      </c>
      <c r="E125" s="131"/>
      <c r="F125" s="65"/>
      <c r="G125" s="166">
        <v>68410</v>
      </c>
      <c r="H125" s="127">
        <v>91087</v>
      </c>
      <c r="I125" s="196">
        <f t="shared" si="2"/>
        <v>1.3314866247624617</v>
      </c>
    </row>
    <row r="126" spans="1:9" ht="15.75" customHeight="1">
      <c r="A126" s="195"/>
      <c r="B126" s="17"/>
      <c r="C126" s="17" t="s">
        <v>52</v>
      </c>
      <c r="D126" s="17" t="s">
        <v>53</v>
      </c>
      <c r="E126" s="131"/>
      <c r="F126" s="65"/>
      <c r="G126" s="166">
        <v>18470</v>
      </c>
      <c r="H126" s="127">
        <v>24593</v>
      </c>
      <c r="I126" s="196">
        <f t="shared" si="2"/>
        <v>1.331510557661072</v>
      </c>
    </row>
    <row r="127" spans="1:9" ht="15.75" customHeight="1">
      <c r="A127" s="195" t="s">
        <v>10</v>
      </c>
      <c r="B127" s="17"/>
      <c r="C127" s="16" t="s">
        <v>11</v>
      </c>
      <c r="D127" s="17"/>
      <c r="E127" s="131"/>
      <c r="F127" s="65">
        <f>SUM(F128)</f>
        <v>0</v>
      </c>
      <c r="G127" s="166">
        <f>SUM(G128)</f>
        <v>221200</v>
      </c>
      <c r="H127" s="188">
        <f>SUM(H128)</f>
        <v>221200</v>
      </c>
      <c r="I127" s="196">
        <f t="shared" si="2"/>
        <v>1</v>
      </c>
    </row>
    <row r="128" spans="1:9" ht="15.75" customHeight="1">
      <c r="A128" s="197"/>
      <c r="B128" s="17" t="s">
        <v>400</v>
      </c>
      <c r="C128" s="17"/>
      <c r="D128" s="17" t="s">
        <v>401</v>
      </c>
      <c r="E128" s="131"/>
      <c r="F128" s="127">
        <v>0</v>
      </c>
      <c r="G128" s="166">
        <v>221200</v>
      </c>
      <c r="H128" s="127">
        <v>221200</v>
      </c>
      <c r="I128" s="196">
        <f t="shared" si="2"/>
        <v>1</v>
      </c>
    </row>
    <row r="129" spans="1:9" ht="15.75" customHeight="1">
      <c r="A129" s="197"/>
      <c r="B129" s="17"/>
      <c r="C129" s="17"/>
      <c r="D129" s="17"/>
      <c r="E129" s="131"/>
      <c r="F129" s="127"/>
      <c r="G129" s="166"/>
      <c r="H129" s="164"/>
      <c r="I129" s="196"/>
    </row>
    <row r="130" spans="1:9" ht="15.75" customHeight="1">
      <c r="A130" s="176" t="s">
        <v>428</v>
      </c>
      <c r="B130" s="88"/>
      <c r="C130" s="88"/>
      <c r="D130" s="88"/>
      <c r="E130" s="88"/>
      <c r="F130" s="88"/>
      <c r="G130" s="167">
        <f>SUM(G131)</f>
        <v>600000</v>
      </c>
      <c r="H130" s="167">
        <f>SUM(H131)</f>
        <v>600000</v>
      </c>
      <c r="I130" s="194">
        <f t="shared" si="2"/>
        <v>1</v>
      </c>
    </row>
    <row r="131" spans="1:9" ht="15.75" customHeight="1">
      <c r="A131" s="195" t="s">
        <v>4</v>
      </c>
      <c r="B131" s="17"/>
      <c r="C131" s="16" t="s">
        <v>5</v>
      </c>
      <c r="D131" s="17"/>
      <c r="E131" s="131"/>
      <c r="F131" s="127"/>
      <c r="G131" s="166">
        <v>600000</v>
      </c>
      <c r="H131" s="188">
        <v>600000</v>
      </c>
      <c r="I131" s="196">
        <f t="shared" si="2"/>
        <v>1</v>
      </c>
    </row>
    <row r="132" spans="1:9" ht="15.75" customHeight="1">
      <c r="A132" s="195"/>
      <c r="B132" s="17" t="s">
        <v>46</v>
      </c>
      <c r="C132" s="17"/>
      <c r="D132" s="17" t="s">
        <v>47</v>
      </c>
      <c r="E132" s="131"/>
      <c r="F132" s="127"/>
      <c r="G132" s="166">
        <v>600000</v>
      </c>
      <c r="H132" s="127">
        <v>600000</v>
      </c>
      <c r="I132" s="196">
        <f t="shared" si="2"/>
        <v>1</v>
      </c>
    </row>
    <row r="133" spans="1:9" ht="15.75" customHeight="1">
      <c r="A133" s="197"/>
      <c r="B133" s="17"/>
      <c r="C133" s="17"/>
      <c r="D133" s="17"/>
      <c r="E133" s="131"/>
      <c r="F133" s="127"/>
      <c r="G133" s="187"/>
      <c r="H133" s="127"/>
      <c r="I133" s="196"/>
    </row>
    <row r="134" spans="1:9" ht="15.75" customHeight="1">
      <c r="A134" s="200"/>
      <c r="B134" s="20"/>
      <c r="C134" s="20" t="s">
        <v>127</v>
      </c>
      <c r="D134" s="20"/>
      <c r="E134" s="132"/>
      <c r="F134" s="91">
        <f>F10+F47+F56+F72+F92+F110+F116+F83+F27+F42+F68+F87</f>
        <v>568429161</v>
      </c>
      <c r="G134" s="167">
        <f>G10+G47+G56+G72+G92+G110+G116+G83+G27+G42+G68+G87+G121+G99+G130+G106</f>
        <v>693545873</v>
      </c>
      <c r="H134" s="167">
        <f>H10+H47+H56+H72+H92+H110+H116+H83+H27+H42+H68+H87+H121+H99+H130+H106</f>
        <v>693426383</v>
      </c>
      <c r="I134" s="194">
        <f t="shared" si="2"/>
        <v>0.9998277114684814</v>
      </c>
    </row>
    <row r="135" spans="1:9" ht="15.75" customHeight="1">
      <c r="A135" s="197"/>
      <c r="B135" s="17"/>
      <c r="C135" s="16"/>
      <c r="D135" s="17"/>
      <c r="E135" s="131"/>
      <c r="F135" s="66"/>
      <c r="G135" s="154"/>
      <c r="H135" s="202"/>
      <c r="I135" s="196"/>
    </row>
    <row r="136" spans="1:9" ht="15.75" customHeight="1">
      <c r="A136" s="195" t="s">
        <v>4</v>
      </c>
      <c r="B136" s="16"/>
      <c r="C136" s="16" t="s">
        <v>5</v>
      </c>
      <c r="D136" s="16"/>
      <c r="E136" s="131"/>
      <c r="F136" s="127">
        <f>F11+F57+F84+F73</f>
        <v>127505161</v>
      </c>
      <c r="G136" s="127">
        <f>G11+G57+G84+G73+G122+G131</f>
        <v>130320330</v>
      </c>
      <c r="H136" s="127">
        <f>H11+H57+H84+H73+H122+H131</f>
        <v>129835470</v>
      </c>
      <c r="I136" s="196">
        <f t="shared" si="2"/>
        <v>0.9962794753512364</v>
      </c>
    </row>
    <row r="137" spans="1:9" ht="15.75" customHeight="1">
      <c r="A137" s="195" t="s">
        <v>13</v>
      </c>
      <c r="B137" s="16"/>
      <c r="C137" s="16" t="s">
        <v>14</v>
      </c>
      <c r="D137" s="16"/>
      <c r="E137" s="153"/>
      <c r="F137" s="127">
        <f>F78</f>
        <v>0</v>
      </c>
      <c r="G137" s="127">
        <f>G78+G100+G64</f>
        <v>54436515</v>
      </c>
      <c r="H137" s="127">
        <f>H78+H100+H64</f>
        <v>54436515</v>
      </c>
      <c r="I137" s="196">
        <f t="shared" si="2"/>
        <v>1</v>
      </c>
    </row>
    <row r="138" spans="1:9" ht="15.75" customHeight="1">
      <c r="A138" s="195" t="s">
        <v>6</v>
      </c>
      <c r="B138" s="16"/>
      <c r="C138" s="16" t="s">
        <v>7</v>
      </c>
      <c r="D138" s="16"/>
      <c r="E138" s="153"/>
      <c r="F138" s="127">
        <f>F28</f>
        <v>117000000</v>
      </c>
      <c r="G138" s="127">
        <f>G28</f>
        <v>155322687</v>
      </c>
      <c r="H138" s="127">
        <f>H28</f>
        <v>155322687</v>
      </c>
      <c r="I138" s="196">
        <f t="shared" si="2"/>
        <v>1</v>
      </c>
    </row>
    <row r="139" spans="1:9" ht="15.75" customHeight="1">
      <c r="A139" s="195" t="s">
        <v>8</v>
      </c>
      <c r="B139" s="16"/>
      <c r="C139" s="16" t="s">
        <v>9</v>
      </c>
      <c r="D139" s="16"/>
      <c r="E139" s="153"/>
      <c r="F139" s="127">
        <f>F15+F48+F93+F111+F117+F43+F88</f>
        <v>115974000</v>
      </c>
      <c r="G139" s="127">
        <f>G15+G48+G93+G111+G117+G43+G88+G124</f>
        <v>141994423</v>
      </c>
      <c r="H139" s="127">
        <f>H15+H48+H93+H111+H117+H43+H88+H124</f>
        <v>142624818</v>
      </c>
      <c r="I139" s="196">
        <f aca="true" t="shared" si="4" ref="I139:I144">H139/G139</f>
        <v>1.004439575771226</v>
      </c>
    </row>
    <row r="140" spans="1:9" ht="15.75" customHeight="1">
      <c r="A140" s="195" t="s">
        <v>15</v>
      </c>
      <c r="B140" s="16"/>
      <c r="C140" s="16" t="s">
        <v>16</v>
      </c>
      <c r="D140" s="16"/>
      <c r="E140" s="153"/>
      <c r="F140" s="127">
        <f>F20</f>
        <v>600000</v>
      </c>
      <c r="G140" s="127">
        <f>G20</f>
        <v>600000</v>
      </c>
      <c r="H140" s="127">
        <f>H20</f>
        <v>598146</v>
      </c>
      <c r="I140" s="196">
        <f t="shared" si="4"/>
        <v>0.99691</v>
      </c>
    </row>
    <row r="141" spans="1:9" ht="15.75" customHeight="1">
      <c r="A141" s="195" t="s">
        <v>10</v>
      </c>
      <c r="B141" s="16"/>
      <c r="C141" s="16" t="s">
        <v>11</v>
      </c>
      <c r="D141" s="16"/>
      <c r="E141" s="153"/>
      <c r="F141" s="127">
        <f>F22</f>
        <v>350000</v>
      </c>
      <c r="G141" s="127">
        <f>G22+G127+G107</f>
        <v>903917</v>
      </c>
      <c r="H141" s="127">
        <f>H22+H127+H107</f>
        <v>640717</v>
      </c>
      <c r="I141" s="196">
        <f t="shared" si="4"/>
        <v>0.7088228233344434</v>
      </c>
    </row>
    <row r="142" spans="1:9" ht="15.75" customHeight="1">
      <c r="A142" s="195" t="s">
        <v>17</v>
      </c>
      <c r="B142" s="16"/>
      <c r="C142" s="16" t="s">
        <v>18</v>
      </c>
      <c r="D142" s="16"/>
      <c r="E142" s="153"/>
      <c r="F142" s="127">
        <f>F96</f>
        <v>0</v>
      </c>
      <c r="G142" s="127">
        <f>G96</f>
        <v>842595</v>
      </c>
      <c r="H142" s="127">
        <f>H96</f>
        <v>842624</v>
      </c>
      <c r="I142" s="196">
        <f t="shared" si="4"/>
        <v>1.0000344174840818</v>
      </c>
    </row>
    <row r="143" spans="1:9" ht="15.75" customHeight="1">
      <c r="A143" s="195" t="s">
        <v>20</v>
      </c>
      <c r="B143" s="16"/>
      <c r="C143" s="16" t="s">
        <v>19</v>
      </c>
      <c r="D143" s="16"/>
      <c r="E143" s="153"/>
      <c r="F143" s="127">
        <f>F79+F70</f>
        <v>207000000</v>
      </c>
      <c r="G143" s="127">
        <f>G79+G70</f>
        <v>209125406</v>
      </c>
      <c r="H143" s="127">
        <f>H79+H70</f>
        <v>209125406</v>
      </c>
      <c r="I143" s="196">
        <f t="shared" si="4"/>
        <v>1</v>
      </c>
    </row>
    <row r="144" spans="1:9" ht="15.75" customHeight="1" thickBot="1">
      <c r="A144" s="203"/>
      <c r="B144" s="204"/>
      <c r="C144" s="205" t="s">
        <v>127</v>
      </c>
      <c r="D144" s="204"/>
      <c r="E144" s="206"/>
      <c r="F144" s="207">
        <f>SUM(F136:F143)</f>
        <v>568429161</v>
      </c>
      <c r="G144" s="207">
        <f>SUM(G136:G143)</f>
        <v>693545873</v>
      </c>
      <c r="H144" s="207">
        <f>SUM(H136:H143)</f>
        <v>693426383</v>
      </c>
      <c r="I144" s="208">
        <f t="shared" si="4"/>
        <v>0.9998277114684814</v>
      </c>
    </row>
  </sheetData>
  <sheetProtection selectLockedCells="1" selectUnlockedCells="1"/>
  <mergeCells count="18">
    <mergeCell ref="A5:I5"/>
    <mergeCell ref="D65:E65"/>
    <mergeCell ref="D66:E66"/>
    <mergeCell ref="C64:E64"/>
    <mergeCell ref="A8:E9"/>
    <mergeCell ref="F8:F9"/>
    <mergeCell ref="H8:H9"/>
    <mergeCell ref="I8:I9"/>
    <mergeCell ref="A1:I1"/>
    <mergeCell ref="D102:E102"/>
    <mergeCell ref="C77:E77"/>
    <mergeCell ref="D78:E78"/>
    <mergeCell ref="C100:E100"/>
    <mergeCell ref="D101:E101"/>
    <mergeCell ref="G8:G9"/>
    <mergeCell ref="D63:E63"/>
    <mergeCell ref="A3:I3"/>
    <mergeCell ref="A4:I4"/>
  </mergeCells>
  <printOptions headings="1"/>
  <pageMargins left="0.2362204724409449" right="0.2362204724409449" top="0.7480314960629921" bottom="0.7480314960629921" header="0.5118110236220472" footer="0.5118110236220472"/>
  <pageSetup horizontalDpi="300" verticalDpi="300" orientation="portrait" paperSize="9" scale="61" r:id="rId1"/>
  <rowBreaks count="1" manualBreakCount="1">
    <brk id="7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="60" zoomScalePageLayoutView="0" workbookViewId="0" topLeftCell="A1">
      <selection activeCell="A5" sqref="A5:J5"/>
    </sheetView>
  </sheetViews>
  <sheetFormatPr defaultColWidth="9.140625" defaultRowHeight="12.75"/>
  <cols>
    <col min="1" max="1" width="4.28125" style="1" customWidth="1"/>
    <col min="2" max="2" width="4.7109375" style="1" customWidth="1"/>
    <col min="3" max="3" width="6.140625" style="1" customWidth="1"/>
    <col min="4" max="4" width="3.57421875" style="1" customWidth="1"/>
    <col min="5" max="5" width="48.8515625" style="1" bestFit="1" customWidth="1"/>
    <col min="6" max="6" width="10.28125" style="1" customWidth="1"/>
    <col min="7" max="7" width="15.00390625" style="1" customWidth="1"/>
    <col min="8" max="8" width="13.7109375" style="1" customWidth="1"/>
    <col min="9" max="9" width="13.57421875" style="1" customWidth="1"/>
    <col min="10" max="10" width="10.57421875" style="1" customWidth="1"/>
    <col min="11" max="16384" width="9.140625" style="1" customWidth="1"/>
  </cols>
  <sheetData>
    <row r="1" spans="1:10" ht="15.75">
      <c r="A1" s="299" t="s">
        <v>441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7" ht="15.75" customHeight="1">
      <c r="A2" s="13"/>
      <c r="B2" s="13"/>
      <c r="C2" s="13"/>
      <c r="D2" s="13"/>
      <c r="E2" s="3"/>
      <c r="F2" s="3"/>
      <c r="G2" s="3"/>
    </row>
    <row r="3" spans="1:10" ht="15.75" customHeight="1">
      <c r="A3" s="310" t="s">
        <v>0</v>
      </c>
      <c r="B3" s="310"/>
      <c r="C3" s="310"/>
      <c r="D3" s="310"/>
      <c r="E3" s="310"/>
      <c r="F3" s="310"/>
      <c r="G3" s="310"/>
      <c r="H3" s="310"/>
      <c r="I3" s="310"/>
      <c r="J3" s="310"/>
    </row>
    <row r="4" spans="1:10" ht="15.75" customHeight="1">
      <c r="A4" s="310" t="s">
        <v>666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5.75" customHeight="1">
      <c r="A5" s="310" t="s">
        <v>128</v>
      </c>
      <c r="B5" s="310"/>
      <c r="C5" s="310"/>
      <c r="D5" s="310"/>
      <c r="E5" s="310"/>
      <c r="F5" s="310"/>
      <c r="G5" s="310"/>
      <c r="H5" s="310"/>
      <c r="I5" s="310"/>
      <c r="J5" s="310"/>
    </row>
    <row r="6" spans="1:7" ht="15.75" customHeight="1" thickBot="1">
      <c r="A6" s="13"/>
      <c r="B6" s="13"/>
      <c r="C6" s="13"/>
      <c r="D6" s="13"/>
      <c r="E6" s="14"/>
      <c r="F6" s="14"/>
      <c r="G6" s="14"/>
    </row>
    <row r="7" spans="1:10" ht="15.75" customHeight="1">
      <c r="A7" s="332" t="s">
        <v>129</v>
      </c>
      <c r="B7" s="333"/>
      <c r="C7" s="333"/>
      <c r="D7" s="333"/>
      <c r="E7" s="333"/>
      <c r="F7" s="334"/>
      <c r="G7" s="330" t="s">
        <v>2</v>
      </c>
      <c r="H7" s="330" t="s">
        <v>393</v>
      </c>
      <c r="I7" s="283" t="s">
        <v>462</v>
      </c>
      <c r="J7" s="285" t="s">
        <v>463</v>
      </c>
    </row>
    <row r="8" spans="1:10" ht="15.75" customHeight="1">
      <c r="A8" s="335"/>
      <c r="B8" s="336"/>
      <c r="C8" s="336"/>
      <c r="D8" s="336"/>
      <c r="E8" s="336"/>
      <c r="F8" s="337"/>
      <c r="G8" s="331"/>
      <c r="H8" s="331"/>
      <c r="I8" s="284"/>
      <c r="J8" s="286"/>
    </row>
    <row r="9" spans="1:10" ht="15.75" customHeight="1">
      <c r="A9" s="335"/>
      <c r="B9" s="336"/>
      <c r="C9" s="336"/>
      <c r="D9" s="336"/>
      <c r="E9" s="336"/>
      <c r="F9" s="337"/>
      <c r="G9" s="331"/>
      <c r="H9" s="331"/>
      <c r="I9" s="284"/>
      <c r="J9" s="286"/>
    </row>
    <row r="10" spans="1:10" ht="15.75" customHeight="1">
      <c r="A10" s="200" t="s">
        <v>4</v>
      </c>
      <c r="B10" s="20"/>
      <c r="C10" s="20" t="s">
        <v>5</v>
      </c>
      <c r="D10" s="20"/>
      <c r="E10" s="20"/>
      <c r="F10" s="130"/>
      <c r="G10" s="137">
        <f>G11+G26</f>
        <v>127505161</v>
      </c>
      <c r="H10" s="137">
        <f>H11+H26</f>
        <v>130320330</v>
      </c>
      <c r="I10" s="137">
        <f>I11+I26</f>
        <v>129835470</v>
      </c>
      <c r="J10" s="185">
        <f>I10/H10</f>
        <v>0.9962794753512364</v>
      </c>
    </row>
    <row r="11" spans="1:10" ht="15.75" customHeight="1">
      <c r="A11" s="197"/>
      <c r="B11" s="16" t="s">
        <v>93</v>
      </c>
      <c r="C11" s="16"/>
      <c r="D11" s="16" t="s">
        <v>94</v>
      </c>
      <c r="E11" s="16"/>
      <c r="F11" s="131"/>
      <c r="G11" s="66">
        <f>SUM(G12:G23)</f>
        <v>116912542</v>
      </c>
      <c r="H11" s="66">
        <f>SUM(H12:H23)</f>
        <v>120711281</v>
      </c>
      <c r="I11" s="66">
        <f>SUM(I12:I23)</f>
        <v>120711281</v>
      </c>
      <c r="J11" s="184">
        <f>I11/H11</f>
        <v>1</v>
      </c>
    </row>
    <row r="12" spans="1:10" ht="15.75" customHeight="1">
      <c r="A12" s="195"/>
      <c r="B12" s="16"/>
      <c r="C12" s="17" t="s">
        <v>95</v>
      </c>
      <c r="D12" s="17" t="s">
        <v>96</v>
      </c>
      <c r="E12" s="17"/>
      <c r="F12" s="131"/>
      <c r="G12" s="127">
        <v>61636657</v>
      </c>
      <c r="H12" s="127">
        <f>F13+F14+F15+F16+F17+F18+F19</f>
        <v>63515111</v>
      </c>
      <c r="I12" s="127">
        <f>'2. Bevétel funkció'!H59</f>
        <v>63515111</v>
      </c>
      <c r="J12" s="184">
        <f aca="true" t="shared" si="0" ref="J12:J77">I12/H12</f>
        <v>1</v>
      </c>
    </row>
    <row r="13" spans="1:10" ht="15.75" customHeight="1">
      <c r="A13" s="195"/>
      <c r="B13" s="16"/>
      <c r="C13" s="17"/>
      <c r="D13" s="17"/>
      <c r="E13" s="17" t="s">
        <v>130</v>
      </c>
      <c r="F13" s="131">
        <v>5267260</v>
      </c>
      <c r="G13" s="127"/>
      <c r="H13" s="65"/>
      <c r="I13" s="65"/>
      <c r="J13" s="184"/>
    </row>
    <row r="14" spans="1:10" ht="15.75" customHeight="1">
      <c r="A14" s="195"/>
      <c r="B14" s="16"/>
      <c r="C14" s="17"/>
      <c r="D14" s="17"/>
      <c r="E14" s="17" t="s">
        <v>131</v>
      </c>
      <c r="F14" s="131">
        <v>14720000</v>
      </c>
      <c r="G14" s="127"/>
      <c r="H14" s="65"/>
      <c r="I14" s="65"/>
      <c r="J14" s="184"/>
    </row>
    <row r="15" spans="1:10" ht="15.75" customHeight="1">
      <c r="A15" s="195"/>
      <c r="B15" s="16"/>
      <c r="C15" s="17"/>
      <c r="D15" s="17"/>
      <c r="E15" s="17" t="s">
        <v>132</v>
      </c>
      <c r="F15" s="131">
        <v>812130</v>
      </c>
      <c r="G15" s="127"/>
      <c r="H15" s="65"/>
      <c r="I15" s="65"/>
      <c r="J15" s="184"/>
    </row>
    <row r="16" spans="1:10" ht="15.75" customHeight="1">
      <c r="A16" s="195"/>
      <c r="B16" s="16"/>
      <c r="C16" s="17"/>
      <c r="D16" s="17"/>
      <c r="E16" s="17" t="s">
        <v>133</v>
      </c>
      <c r="F16" s="131">
        <v>8535200</v>
      </c>
      <c r="G16" s="127"/>
      <c r="H16" s="65"/>
      <c r="I16" s="65"/>
      <c r="J16" s="184"/>
    </row>
    <row r="17" spans="1:10" ht="15.75" customHeight="1">
      <c r="A17" s="195"/>
      <c r="B17" s="16"/>
      <c r="C17" s="17"/>
      <c r="D17" s="17"/>
      <c r="E17" s="17" t="s">
        <v>134</v>
      </c>
      <c r="F17" s="131">
        <v>3662919</v>
      </c>
      <c r="G17" s="127"/>
      <c r="H17" s="65"/>
      <c r="I17" s="65"/>
      <c r="J17" s="184"/>
    </row>
    <row r="18" spans="1:10" ht="15.75" customHeight="1">
      <c r="A18" s="195"/>
      <c r="B18" s="16"/>
      <c r="C18" s="17"/>
      <c r="D18" s="17"/>
      <c r="E18" s="17" t="s">
        <v>135</v>
      </c>
      <c r="F18" s="131">
        <v>29397102</v>
      </c>
      <c r="G18" s="127"/>
      <c r="H18" s="65"/>
      <c r="I18" s="65"/>
      <c r="J18" s="184"/>
    </row>
    <row r="19" spans="1:10" ht="15.75" customHeight="1">
      <c r="A19" s="195"/>
      <c r="B19" s="16"/>
      <c r="C19" s="17"/>
      <c r="D19" s="17"/>
      <c r="E19" s="17" t="s">
        <v>136</v>
      </c>
      <c r="F19" s="131">
        <v>1120500</v>
      </c>
      <c r="G19" s="127"/>
      <c r="H19" s="65"/>
      <c r="I19" s="65"/>
      <c r="J19" s="184"/>
    </row>
    <row r="20" spans="1:10" ht="15.75" customHeight="1">
      <c r="A20" s="197"/>
      <c r="B20" s="17"/>
      <c r="C20" s="17" t="s">
        <v>97</v>
      </c>
      <c r="D20" s="17" t="s">
        <v>137</v>
      </c>
      <c r="E20" s="17"/>
      <c r="F20" s="131"/>
      <c r="G20" s="127">
        <v>27039150</v>
      </c>
      <c r="H20" s="127">
        <f>'2. Bevétel funkció'!G60</f>
        <v>26360050</v>
      </c>
      <c r="I20" s="127">
        <f>'2. Bevétel funkció'!H60</f>
        <v>26360050</v>
      </c>
      <c r="J20" s="184">
        <f t="shared" si="0"/>
        <v>1</v>
      </c>
    </row>
    <row r="21" spans="1:10" ht="15.75" customHeight="1">
      <c r="A21" s="197"/>
      <c r="B21" s="17"/>
      <c r="C21" s="17" t="s">
        <v>99</v>
      </c>
      <c r="D21" s="17" t="s">
        <v>138</v>
      </c>
      <c r="E21" s="17"/>
      <c r="F21" s="131"/>
      <c r="G21" s="127">
        <v>26436735</v>
      </c>
      <c r="H21" s="127">
        <f>'2. Bevétel funkció'!G61</f>
        <v>20578610</v>
      </c>
      <c r="I21" s="127">
        <f>'2. Bevétel funkció'!H61</f>
        <v>20578610</v>
      </c>
      <c r="J21" s="184">
        <f t="shared" si="0"/>
        <v>1</v>
      </c>
    </row>
    <row r="22" spans="1:10" ht="15.75" customHeight="1">
      <c r="A22" s="197"/>
      <c r="B22" s="17"/>
      <c r="C22" s="17" t="s">
        <v>101</v>
      </c>
      <c r="D22" s="17" t="s">
        <v>102</v>
      </c>
      <c r="E22" s="17"/>
      <c r="F22" s="131"/>
      <c r="G22" s="127">
        <v>1800000</v>
      </c>
      <c r="H22" s="127">
        <f>'2. Bevétel funkció'!G62</f>
        <v>2030000</v>
      </c>
      <c r="I22" s="127">
        <f>'2. Bevétel funkció'!H62</f>
        <v>2030000</v>
      </c>
      <c r="J22" s="184">
        <f t="shared" si="0"/>
        <v>1</v>
      </c>
    </row>
    <row r="23" spans="1:10" ht="15.75" customHeight="1">
      <c r="A23" s="197"/>
      <c r="B23" s="17"/>
      <c r="C23" s="17" t="s">
        <v>103</v>
      </c>
      <c r="D23" s="17" t="s">
        <v>139</v>
      </c>
      <c r="E23" s="17"/>
      <c r="F23" s="131"/>
      <c r="G23" s="127">
        <v>0</v>
      </c>
      <c r="H23" s="127">
        <v>8227510</v>
      </c>
      <c r="I23" s="127">
        <f>'2. Bevétel funkció'!H63</f>
        <v>8227510</v>
      </c>
      <c r="J23" s="184">
        <f t="shared" si="0"/>
        <v>1</v>
      </c>
    </row>
    <row r="24" spans="1:10" ht="15.75" customHeight="1">
      <c r="A24" s="197"/>
      <c r="B24" s="17"/>
      <c r="C24" s="17" t="s">
        <v>104</v>
      </c>
      <c r="D24" s="17" t="s">
        <v>105</v>
      </c>
      <c r="E24" s="17"/>
      <c r="F24" s="131"/>
      <c r="G24" s="127"/>
      <c r="H24" s="65"/>
      <c r="I24" s="65"/>
      <c r="J24" s="184"/>
    </row>
    <row r="25" spans="1:10" ht="15.75" customHeight="1">
      <c r="A25" s="197"/>
      <c r="B25" s="17"/>
      <c r="C25" s="17"/>
      <c r="D25" s="17"/>
      <c r="E25" s="17"/>
      <c r="F25" s="131"/>
      <c r="G25" s="127"/>
      <c r="H25" s="65"/>
      <c r="I25" s="65"/>
      <c r="J25" s="184"/>
    </row>
    <row r="26" spans="1:10" ht="15.75" customHeight="1">
      <c r="A26" s="197"/>
      <c r="B26" s="16" t="s">
        <v>46</v>
      </c>
      <c r="C26" s="16"/>
      <c r="D26" s="16" t="s">
        <v>111</v>
      </c>
      <c r="E26" s="16"/>
      <c r="F26" s="131"/>
      <c r="G26" s="66">
        <f>SUM(G27:G29)</f>
        <v>10592619</v>
      </c>
      <c r="H26" s="66">
        <f>SUM(H27:H32)</f>
        <v>9609049</v>
      </c>
      <c r="I26" s="66">
        <f>SUM(I27:I33)</f>
        <v>9124189</v>
      </c>
      <c r="J26" s="184">
        <f t="shared" si="0"/>
        <v>0.949541312569017</v>
      </c>
    </row>
    <row r="27" spans="1:10" ht="15.75" customHeight="1">
      <c r="A27" s="197"/>
      <c r="B27" s="18"/>
      <c r="C27" s="18"/>
      <c r="D27" s="18"/>
      <c r="E27" s="19" t="s">
        <v>140</v>
      </c>
      <c r="F27" s="131"/>
      <c r="G27" s="127">
        <v>5000000</v>
      </c>
      <c r="H27" s="127">
        <v>3000000</v>
      </c>
      <c r="I27" s="127">
        <f>'2. Bevétel funkció'!H85</f>
        <v>2179947</v>
      </c>
      <c r="J27" s="184">
        <f t="shared" si="0"/>
        <v>0.726649</v>
      </c>
    </row>
    <row r="28" spans="1:10" ht="15.75" customHeight="1">
      <c r="A28" s="197"/>
      <c r="B28" s="17"/>
      <c r="C28" s="17"/>
      <c r="D28" s="17" t="s">
        <v>141</v>
      </c>
      <c r="E28" s="17"/>
      <c r="F28" s="131"/>
      <c r="G28" s="127">
        <v>1465819</v>
      </c>
      <c r="H28" s="127">
        <f>'2. Bevétel funkció'!G75</f>
        <v>807165</v>
      </c>
      <c r="I28" s="127">
        <f>'2. Bevétel funkció'!H75</f>
        <v>467858</v>
      </c>
      <c r="J28" s="184">
        <f t="shared" si="0"/>
        <v>0.5796311782597114</v>
      </c>
    </row>
    <row r="29" spans="1:10" ht="15.75" customHeight="1">
      <c r="A29" s="197"/>
      <c r="B29" s="17"/>
      <c r="C29" s="17"/>
      <c r="D29" s="17" t="s">
        <v>429</v>
      </c>
      <c r="E29" s="17"/>
      <c r="F29" s="131"/>
      <c r="G29" s="127">
        <v>4126800</v>
      </c>
      <c r="H29" s="127">
        <v>4126800</v>
      </c>
      <c r="I29" s="127">
        <f>'2. Bevétel funkció'!H76</f>
        <v>4776300</v>
      </c>
      <c r="J29" s="184">
        <f t="shared" si="0"/>
        <v>1.1573858679848794</v>
      </c>
    </row>
    <row r="30" spans="1:10" ht="15.75" customHeight="1">
      <c r="A30" s="197"/>
      <c r="B30" s="17"/>
      <c r="C30" s="17"/>
      <c r="D30" s="17"/>
      <c r="E30" s="17" t="s">
        <v>405</v>
      </c>
      <c r="F30" s="131"/>
      <c r="G30" s="127"/>
      <c r="H30" s="127">
        <v>500000</v>
      </c>
      <c r="I30" s="127">
        <f>'2. Bevétel funkció'!H123</f>
        <v>500000</v>
      </c>
      <c r="J30" s="184">
        <f t="shared" si="0"/>
        <v>1</v>
      </c>
    </row>
    <row r="31" spans="1:10" ht="15.75" customHeight="1">
      <c r="A31" s="197"/>
      <c r="B31" s="17"/>
      <c r="C31" s="17"/>
      <c r="D31" s="17"/>
      <c r="E31" s="17" t="s">
        <v>470</v>
      </c>
      <c r="F31" s="131"/>
      <c r="G31" s="127"/>
      <c r="H31" s="127">
        <v>600000</v>
      </c>
      <c r="I31" s="127">
        <f>'2. Bevétel funkció'!H132</f>
        <v>600000</v>
      </c>
      <c r="J31" s="184">
        <f t="shared" si="0"/>
        <v>1</v>
      </c>
    </row>
    <row r="32" spans="1:10" ht="15.75" customHeight="1">
      <c r="A32" s="197"/>
      <c r="B32" s="17"/>
      <c r="C32" s="17"/>
      <c r="D32" s="17"/>
      <c r="E32" s="17" t="s">
        <v>435</v>
      </c>
      <c r="F32" s="131"/>
      <c r="G32" s="127"/>
      <c r="H32" s="127">
        <v>575084</v>
      </c>
      <c r="I32" s="127">
        <f>'2. Bevétel funkció'!H13</f>
        <v>575084</v>
      </c>
      <c r="J32" s="184">
        <f t="shared" si="0"/>
        <v>1</v>
      </c>
    </row>
    <row r="33" spans="1:10" ht="15.75" customHeight="1">
      <c r="A33" s="197"/>
      <c r="B33" s="17"/>
      <c r="C33" s="17"/>
      <c r="D33" s="17"/>
      <c r="E33" s="17" t="s">
        <v>471</v>
      </c>
      <c r="F33" s="131"/>
      <c r="G33" s="127"/>
      <c r="H33" s="127"/>
      <c r="I33" s="127">
        <f>'2. Bevétel funkció'!H14</f>
        <v>25000</v>
      </c>
      <c r="J33" s="184"/>
    </row>
    <row r="34" spans="1:10" ht="15.75" customHeight="1">
      <c r="A34" s="197"/>
      <c r="B34" s="17"/>
      <c r="C34" s="17"/>
      <c r="D34" s="17"/>
      <c r="E34" s="17"/>
      <c r="F34" s="131"/>
      <c r="G34" s="127"/>
      <c r="H34" s="65"/>
      <c r="I34" s="65"/>
      <c r="J34" s="184"/>
    </row>
    <row r="35" spans="1:10" ht="15.75" customHeight="1">
      <c r="A35" s="200" t="s">
        <v>13</v>
      </c>
      <c r="B35" s="20"/>
      <c r="C35" s="20" t="s">
        <v>14</v>
      </c>
      <c r="D35" s="20"/>
      <c r="E35" s="20"/>
      <c r="F35" s="132"/>
      <c r="G35" s="91">
        <f>G36</f>
        <v>0</v>
      </c>
      <c r="H35" s="91">
        <f>SUM(H36:H37)</f>
        <v>54436515</v>
      </c>
      <c r="I35" s="91">
        <f>SUM(I36:I37)</f>
        <v>54436515</v>
      </c>
      <c r="J35" s="192">
        <f t="shared" si="0"/>
        <v>1</v>
      </c>
    </row>
    <row r="36" spans="1:10" ht="15.75" customHeight="1">
      <c r="A36" s="197"/>
      <c r="B36" s="16" t="s">
        <v>106</v>
      </c>
      <c r="C36" s="16"/>
      <c r="D36" s="16" t="s">
        <v>142</v>
      </c>
      <c r="E36" s="16"/>
      <c r="F36" s="131"/>
      <c r="G36" s="94">
        <v>0</v>
      </c>
      <c r="H36" s="127">
        <f>'2. Bevétel funkció'!G77+'2. Bevétel funkció'!G64</f>
        <v>41453569</v>
      </c>
      <c r="I36" s="127">
        <f>'2. Bevétel funkció'!H77+'2. Bevétel funkció'!H64</f>
        <v>41453569</v>
      </c>
      <c r="J36" s="184">
        <f t="shared" si="0"/>
        <v>1</v>
      </c>
    </row>
    <row r="37" spans="1:10" ht="15.75" customHeight="1">
      <c r="A37" s="197"/>
      <c r="B37" s="16" t="s">
        <v>394</v>
      </c>
      <c r="C37" s="16"/>
      <c r="D37" s="16"/>
      <c r="E37" s="16"/>
      <c r="F37" s="131"/>
      <c r="G37" s="94"/>
      <c r="H37" s="127">
        <f>'2. Bevétel funkció'!G100</f>
        <v>12982946</v>
      </c>
      <c r="I37" s="127">
        <f>'2. Bevétel funkció'!H100</f>
        <v>12982946</v>
      </c>
      <c r="J37" s="184">
        <f t="shared" si="0"/>
        <v>1</v>
      </c>
    </row>
    <row r="38" spans="1:10" ht="15.75" customHeight="1">
      <c r="A38" s="197"/>
      <c r="B38" s="17"/>
      <c r="C38" s="17"/>
      <c r="D38" s="17"/>
      <c r="E38" s="17"/>
      <c r="F38" s="131"/>
      <c r="G38" s="92"/>
      <c r="H38" s="65"/>
      <c r="I38" s="65"/>
      <c r="J38" s="184"/>
    </row>
    <row r="39" spans="1:10" ht="15.75" customHeight="1">
      <c r="A39" s="200" t="s">
        <v>6</v>
      </c>
      <c r="B39" s="20"/>
      <c r="C39" s="20" t="s">
        <v>7</v>
      </c>
      <c r="D39" s="20"/>
      <c r="E39" s="20"/>
      <c r="F39" s="132"/>
      <c r="G39" s="91">
        <f>G40+G43+G50</f>
        <v>117000000</v>
      </c>
      <c r="H39" s="91">
        <f>H40+H43+H50</f>
        <v>155322687</v>
      </c>
      <c r="I39" s="91">
        <f>I40+I43+I50</f>
        <v>155322687</v>
      </c>
      <c r="J39" s="192">
        <f t="shared" si="0"/>
        <v>1</v>
      </c>
    </row>
    <row r="40" spans="1:10" ht="15.75" customHeight="1">
      <c r="A40" s="197"/>
      <c r="B40" s="16" t="s">
        <v>62</v>
      </c>
      <c r="C40" s="16"/>
      <c r="D40" s="16" t="s">
        <v>63</v>
      </c>
      <c r="E40" s="16"/>
      <c r="F40" s="131"/>
      <c r="G40" s="66">
        <f>SUM(G41:G42)</f>
        <v>63000000</v>
      </c>
      <c r="H40" s="66">
        <f>SUM(H41:H42)</f>
        <v>65022420</v>
      </c>
      <c r="I40" s="66">
        <f>SUM(I41:I42)</f>
        <v>65022420</v>
      </c>
      <c r="J40" s="184">
        <f t="shared" si="0"/>
        <v>1</v>
      </c>
    </row>
    <row r="41" spans="1:10" ht="15.75" customHeight="1">
      <c r="A41" s="197"/>
      <c r="B41" s="17"/>
      <c r="C41" s="17" t="s">
        <v>64</v>
      </c>
      <c r="D41" s="17"/>
      <c r="E41" s="17" t="s">
        <v>65</v>
      </c>
      <c r="F41" s="131"/>
      <c r="G41" s="127">
        <v>53000000</v>
      </c>
      <c r="H41" s="127">
        <f>'2. Bevétel funkció'!G30</f>
        <v>53000000</v>
      </c>
      <c r="I41" s="127">
        <f>'2. Bevétel funkció'!H30</f>
        <v>52345678</v>
      </c>
      <c r="J41" s="184">
        <f t="shared" si="0"/>
        <v>0.9876543018867925</v>
      </c>
    </row>
    <row r="42" spans="1:10" ht="15.75" customHeight="1">
      <c r="A42" s="195"/>
      <c r="B42" s="16"/>
      <c r="C42" s="17" t="s">
        <v>66</v>
      </c>
      <c r="D42" s="16"/>
      <c r="E42" s="17" t="s">
        <v>67</v>
      </c>
      <c r="F42" s="131"/>
      <c r="G42" s="127">
        <v>10000000</v>
      </c>
      <c r="H42" s="127">
        <f>'2. Bevétel funkció'!G31</f>
        <v>12022420</v>
      </c>
      <c r="I42" s="127">
        <f>'2. Bevétel funkció'!H31</f>
        <v>12676742</v>
      </c>
      <c r="J42" s="184">
        <f t="shared" si="0"/>
        <v>1.0544251490132601</v>
      </c>
    </row>
    <row r="43" spans="1:10" ht="15.75" customHeight="1">
      <c r="A43" s="195"/>
      <c r="B43" s="16" t="s">
        <v>68</v>
      </c>
      <c r="C43" s="16"/>
      <c r="D43" s="16" t="s">
        <v>69</v>
      </c>
      <c r="E43" s="16"/>
      <c r="F43" s="131"/>
      <c r="G43" s="66">
        <f>G44+G46+G48</f>
        <v>53500000</v>
      </c>
      <c r="H43" s="66">
        <f>H44+H46+H48</f>
        <v>89663257</v>
      </c>
      <c r="I43" s="66">
        <f>I44+I46+I48</f>
        <v>89663257</v>
      </c>
      <c r="J43" s="184">
        <f t="shared" si="0"/>
        <v>1</v>
      </c>
    </row>
    <row r="44" spans="1:10" ht="15.75" customHeight="1">
      <c r="A44" s="195"/>
      <c r="B44" s="17"/>
      <c r="C44" s="17" t="s">
        <v>70</v>
      </c>
      <c r="D44" s="17" t="s">
        <v>71</v>
      </c>
      <c r="E44" s="17"/>
      <c r="F44" s="131"/>
      <c r="G44" s="127">
        <f>G45</f>
        <v>27000000</v>
      </c>
      <c r="H44" s="127">
        <f>H45</f>
        <v>54470257</v>
      </c>
      <c r="I44" s="127">
        <f>I45</f>
        <v>54470257</v>
      </c>
      <c r="J44" s="184">
        <f t="shared" si="0"/>
        <v>1</v>
      </c>
    </row>
    <row r="45" spans="1:10" ht="15.75" customHeight="1">
      <c r="A45" s="195"/>
      <c r="B45" s="17"/>
      <c r="C45" s="17"/>
      <c r="D45" s="17"/>
      <c r="E45" s="17" t="s">
        <v>72</v>
      </c>
      <c r="F45" s="131"/>
      <c r="G45" s="127">
        <v>27000000</v>
      </c>
      <c r="H45" s="127">
        <f>'2. Bevétel funkció'!G34</f>
        <v>54470257</v>
      </c>
      <c r="I45" s="127">
        <f>'2. Bevétel funkció'!H34</f>
        <v>54470257</v>
      </c>
      <c r="J45" s="184">
        <f t="shared" si="0"/>
        <v>1</v>
      </c>
    </row>
    <row r="46" spans="1:10" ht="15.75" customHeight="1">
      <c r="A46" s="195"/>
      <c r="B46" s="17"/>
      <c r="C46" s="17" t="s">
        <v>73</v>
      </c>
      <c r="D46" s="17" t="s">
        <v>74</v>
      </c>
      <c r="E46" s="17"/>
      <c r="F46" s="131"/>
      <c r="G46" s="127">
        <f>SUM(G47)</f>
        <v>3500000</v>
      </c>
      <c r="H46" s="127">
        <f>SUM(H47)</f>
        <v>4088100</v>
      </c>
      <c r="I46" s="127">
        <f>SUM(I47)</f>
        <v>4088100</v>
      </c>
      <c r="J46" s="184">
        <f t="shared" si="0"/>
        <v>1</v>
      </c>
    </row>
    <row r="47" spans="1:10" ht="15.75" customHeight="1">
      <c r="A47" s="195"/>
      <c r="B47" s="17"/>
      <c r="C47" s="17"/>
      <c r="D47" s="17"/>
      <c r="E47" s="17" t="s">
        <v>75</v>
      </c>
      <c r="F47" s="131"/>
      <c r="G47" s="127">
        <v>3500000</v>
      </c>
      <c r="H47" s="127">
        <f>'2. Bevétel funkció'!G36</f>
        <v>4088100</v>
      </c>
      <c r="I47" s="127">
        <f>'2. Bevétel funkció'!H36</f>
        <v>4088100</v>
      </c>
      <c r="J47" s="184">
        <f t="shared" si="0"/>
        <v>1</v>
      </c>
    </row>
    <row r="48" spans="1:10" ht="15.75" customHeight="1">
      <c r="A48" s="195"/>
      <c r="B48" s="17"/>
      <c r="C48" s="17" t="s">
        <v>76</v>
      </c>
      <c r="D48" s="17" t="s">
        <v>77</v>
      </c>
      <c r="E48" s="17"/>
      <c r="F48" s="131"/>
      <c r="G48" s="127">
        <f>SUM(G49:G49)</f>
        <v>23000000</v>
      </c>
      <c r="H48" s="127">
        <f>SUM(H49:H49)</f>
        <v>31104900</v>
      </c>
      <c r="I48" s="127">
        <f>SUM(I49:I49)</f>
        <v>31104900</v>
      </c>
      <c r="J48" s="184">
        <f t="shared" si="0"/>
        <v>1</v>
      </c>
    </row>
    <row r="49" spans="1:10" ht="15.75" customHeight="1">
      <c r="A49" s="195"/>
      <c r="B49" s="17"/>
      <c r="C49" s="17"/>
      <c r="D49" s="17"/>
      <c r="E49" s="17" t="s">
        <v>78</v>
      </c>
      <c r="F49" s="131"/>
      <c r="G49" s="127">
        <v>23000000</v>
      </c>
      <c r="H49" s="127">
        <f>'2. Bevétel funkció'!G38</f>
        <v>31104900</v>
      </c>
      <c r="I49" s="127">
        <f>'2. Bevétel funkció'!H38</f>
        <v>31104900</v>
      </c>
      <c r="J49" s="184">
        <f t="shared" si="0"/>
        <v>1</v>
      </c>
    </row>
    <row r="50" spans="1:10" ht="15.75" customHeight="1">
      <c r="A50" s="197"/>
      <c r="B50" s="16" t="s">
        <v>79</v>
      </c>
      <c r="C50" s="17"/>
      <c r="D50" s="16" t="s">
        <v>80</v>
      </c>
      <c r="E50" s="17"/>
      <c r="F50" s="131"/>
      <c r="G50" s="66">
        <f>G51</f>
        <v>500000</v>
      </c>
      <c r="H50" s="66">
        <f>H51</f>
        <v>637010</v>
      </c>
      <c r="I50" s="66">
        <f>I51</f>
        <v>637010</v>
      </c>
      <c r="J50" s="184">
        <f t="shared" si="0"/>
        <v>1</v>
      </c>
    </row>
    <row r="51" spans="1:10" ht="15.75" customHeight="1">
      <c r="A51" s="197"/>
      <c r="B51" s="17"/>
      <c r="C51" s="17" t="s">
        <v>143</v>
      </c>
      <c r="D51" s="17"/>
      <c r="E51" s="17" t="s">
        <v>82</v>
      </c>
      <c r="F51" s="131"/>
      <c r="G51" s="127">
        <v>500000</v>
      </c>
      <c r="H51" s="127">
        <f>'2. Bevétel funkció'!G40</f>
        <v>637010</v>
      </c>
      <c r="I51" s="127">
        <f>'2. Bevétel funkció'!H40</f>
        <v>637010</v>
      </c>
      <c r="J51" s="184">
        <f t="shared" si="0"/>
        <v>1</v>
      </c>
    </row>
    <row r="52" spans="1:10" ht="15.75" customHeight="1">
      <c r="A52" s="197"/>
      <c r="B52" s="17"/>
      <c r="C52" s="17"/>
      <c r="D52" s="17"/>
      <c r="E52" s="17"/>
      <c r="F52" s="131"/>
      <c r="G52" s="127"/>
      <c r="H52" s="65"/>
      <c r="I52" s="65"/>
      <c r="J52" s="184"/>
    </row>
    <row r="53" spans="1:10" ht="15.75" customHeight="1">
      <c r="A53" s="200" t="s">
        <v>8</v>
      </c>
      <c r="B53" s="20"/>
      <c r="C53" s="20" t="s">
        <v>9</v>
      </c>
      <c r="D53" s="20"/>
      <c r="E53" s="20"/>
      <c r="F53" s="130"/>
      <c r="G53" s="137">
        <f>G54+G55+G64+G65+G66+G67</f>
        <v>115974000</v>
      </c>
      <c r="H53" s="137">
        <f>H54+H55+H64+H65+H66+H67</f>
        <v>141994423</v>
      </c>
      <c r="I53" s="137">
        <f>I54+I55+I64+I65+I66+I67+I68</f>
        <v>142624818</v>
      </c>
      <c r="J53" s="192">
        <f t="shared" si="0"/>
        <v>1.004439575771226</v>
      </c>
    </row>
    <row r="54" spans="1:10" s="125" customFormat="1" ht="15.75" customHeight="1">
      <c r="A54" s="210"/>
      <c r="B54" s="124"/>
      <c r="C54" s="17" t="s">
        <v>119</v>
      </c>
      <c r="D54" s="17" t="s">
        <v>146</v>
      </c>
      <c r="E54" s="17"/>
      <c r="F54" s="133"/>
      <c r="G54" s="138">
        <f>'2. Bevétel funkció'!F94</f>
        <v>100000</v>
      </c>
      <c r="H54" s="138">
        <f>'2. Bevétel funkció'!G94</f>
        <v>219495</v>
      </c>
      <c r="I54" s="138">
        <f>'2. Bevétel funkció'!H94</f>
        <v>219495</v>
      </c>
      <c r="J54" s="184">
        <f t="shared" si="0"/>
        <v>1</v>
      </c>
    </row>
    <row r="55" spans="1:10" s="125" customFormat="1" ht="15.75" customHeight="1">
      <c r="A55" s="210"/>
      <c r="B55" s="124"/>
      <c r="C55" s="17" t="s">
        <v>48</v>
      </c>
      <c r="D55" s="17" t="s">
        <v>84</v>
      </c>
      <c r="E55" s="17"/>
      <c r="F55" s="133"/>
      <c r="G55" s="138">
        <f>SUM(G56:G62)</f>
        <v>81400000</v>
      </c>
      <c r="H55" s="138">
        <f>SUM(H56:H63)</f>
        <v>101612328</v>
      </c>
      <c r="I55" s="138">
        <f>SUM(I56:I63)</f>
        <v>102093572</v>
      </c>
      <c r="J55" s="184">
        <f t="shared" si="0"/>
        <v>1.004736078874209</v>
      </c>
    </row>
    <row r="56" spans="1:10" s="125" customFormat="1" ht="15.75" customHeight="1">
      <c r="A56" s="210"/>
      <c r="B56" s="124"/>
      <c r="C56" s="124"/>
      <c r="D56" s="328" t="s">
        <v>351</v>
      </c>
      <c r="E56" s="329"/>
      <c r="F56" s="133"/>
      <c r="G56" s="139">
        <f>'2. Bevétel funkció'!F44</f>
        <v>100000</v>
      </c>
      <c r="H56" s="139">
        <f>'2. Bevétel funkció'!G44</f>
        <v>100000</v>
      </c>
      <c r="I56" s="139">
        <f>'2. Bevétel funkció'!H44</f>
        <v>73000</v>
      </c>
      <c r="J56" s="184">
        <f t="shared" si="0"/>
        <v>0.73</v>
      </c>
    </row>
    <row r="57" spans="1:10" s="125" customFormat="1" ht="15.75" customHeight="1">
      <c r="A57" s="210"/>
      <c r="B57" s="124"/>
      <c r="C57" s="124"/>
      <c r="D57" s="328" t="s">
        <v>352</v>
      </c>
      <c r="E57" s="329"/>
      <c r="F57" s="133"/>
      <c r="G57" s="139">
        <f>'2. Bevétel funkció'!F16</f>
        <v>200000</v>
      </c>
      <c r="H57" s="139">
        <f>'2. Bevétel funkció'!G16</f>
        <v>200000</v>
      </c>
      <c r="I57" s="139">
        <f>'2. Bevétel funkció'!H16</f>
        <v>141420</v>
      </c>
      <c r="J57" s="184">
        <f t="shared" si="0"/>
        <v>0.7071</v>
      </c>
    </row>
    <row r="58" spans="1:10" s="125" customFormat="1" ht="15.75" customHeight="1">
      <c r="A58" s="210"/>
      <c r="B58" s="124"/>
      <c r="C58" s="124"/>
      <c r="D58" s="328" t="s">
        <v>86</v>
      </c>
      <c r="E58" s="329"/>
      <c r="F58" s="133"/>
      <c r="G58" s="139">
        <f>'2. Bevétel funkció'!F50</f>
        <v>55000000</v>
      </c>
      <c r="H58" s="139">
        <f>'2. Bevétel funkció'!G50</f>
        <v>67000000</v>
      </c>
      <c r="I58" s="139">
        <f>'2. Bevétel funkció'!H50</f>
        <v>67935699</v>
      </c>
      <c r="J58" s="184">
        <f t="shared" si="0"/>
        <v>1.013965656716418</v>
      </c>
    </row>
    <row r="59" spans="1:10" s="125" customFormat="1" ht="15.75" customHeight="1">
      <c r="A59" s="210"/>
      <c r="B59" s="124"/>
      <c r="C59" s="124"/>
      <c r="D59" s="328" t="s">
        <v>355</v>
      </c>
      <c r="E59" s="329"/>
      <c r="F59" s="133"/>
      <c r="G59" s="139">
        <f>'2. Bevétel funkció'!F89</f>
        <v>400000</v>
      </c>
      <c r="H59" s="139">
        <f>'2. Bevétel funkció'!G89</f>
        <v>400000</v>
      </c>
      <c r="I59" s="139">
        <f>'2. Bevétel funkció'!H89</f>
        <v>291334</v>
      </c>
      <c r="J59" s="184">
        <f t="shared" si="0"/>
        <v>0.728335</v>
      </c>
    </row>
    <row r="60" spans="1:10" s="125" customFormat="1" ht="15.75" customHeight="1">
      <c r="A60" s="210"/>
      <c r="B60" s="124"/>
      <c r="C60" s="124"/>
      <c r="D60" s="328" t="s">
        <v>87</v>
      </c>
      <c r="E60" s="329"/>
      <c r="F60" s="133"/>
      <c r="G60" s="139">
        <f>'2. Bevétel funkció'!F51</f>
        <v>600000</v>
      </c>
      <c r="H60" s="139">
        <f>'2. Bevétel funkció'!G51</f>
        <v>600000</v>
      </c>
      <c r="I60" s="139">
        <f>'2. Bevétel funkció'!H51</f>
        <v>316170</v>
      </c>
      <c r="J60" s="184">
        <f t="shared" si="0"/>
        <v>0.52695</v>
      </c>
    </row>
    <row r="61" spans="1:10" s="125" customFormat="1" ht="15.75" customHeight="1">
      <c r="A61" s="210"/>
      <c r="B61" s="124"/>
      <c r="C61" s="124"/>
      <c r="D61" s="328" t="s">
        <v>353</v>
      </c>
      <c r="E61" s="329"/>
      <c r="F61" s="133"/>
      <c r="G61" s="139">
        <f>'2. Bevétel funkció'!F112</f>
        <v>25000000</v>
      </c>
      <c r="H61" s="139">
        <f>'2. Bevétel funkció'!G112</f>
        <v>33123169</v>
      </c>
      <c r="I61" s="139">
        <f>'2. Bevétel funkció'!H112</f>
        <v>33124113</v>
      </c>
      <c r="J61" s="184">
        <f t="shared" si="0"/>
        <v>1.0000284996885414</v>
      </c>
    </row>
    <row r="62" spans="1:10" s="125" customFormat="1" ht="15.75" customHeight="1">
      <c r="A62" s="210"/>
      <c r="B62" s="124"/>
      <c r="C62" s="124"/>
      <c r="D62" s="328" t="s">
        <v>354</v>
      </c>
      <c r="E62" s="329"/>
      <c r="F62" s="133"/>
      <c r="G62" s="139">
        <f>'2. Bevétel funkció'!F118</f>
        <v>100000</v>
      </c>
      <c r="H62" s="139">
        <f>'2. Bevétel funkció'!G118</f>
        <v>120749</v>
      </c>
      <c r="I62" s="139">
        <f>'2. Bevétel funkció'!H118</f>
        <v>120749</v>
      </c>
      <c r="J62" s="184">
        <f t="shared" si="0"/>
        <v>1</v>
      </c>
    </row>
    <row r="63" spans="1:10" s="125" customFormat="1" ht="15.75" customHeight="1">
      <c r="A63" s="210"/>
      <c r="B63" s="124"/>
      <c r="C63" s="124"/>
      <c r="D63" s="173" t="s">
        <v>455</v>
      </c>
      <c r="E63" s="174"/>
      <c r="F63" s="133"/>
      <c r="G63" s="139"/>
      <c r="H63" s="139">
        <f>'2. Bevétel funkció'!G125</f>
        <v>68410</v>
      </c>
      <c r="I63" s="139">
        <f>'2. Bevétel funkció'!H125</f>
        <v>91087</v>
      </c>
      <c r="J63" s="184">
        <f t="shared" si="0"/>
        <v>1.3314866247624617</v>
      </c>
    </row>
    <row r="64" spans="1:10" s="125" customFormat="1" ht="15.75" customHeight="1">
      <c r="A64" s="210"/>
      <c r="B64" s="124"/>
      <c r="C64" s="17" t="s">
        <v>88</v>
      </c>
      <c r="D64" s="17" t="s">
        <v>144</v>
      </c>
      <c r="E64" s="17"/>
      <c r="F64" s="133"/>
      <c r="G64" s="139">
        <f>'2. Bevétel funkció'!F52</f>
        <v>1000000</v>
      </c>
      <c r="H64" s="139">
        <f>'2. Bevétel funkció'!G52</f>
        <v>1355000</v>
      </c>
      <c r="I64" s="139">
        <f>'2. Bevétel funkció'!H52</f>
        <v>1292357</v>
      </c>
      <c r="J64" s="184">
        <f t="shared" si="0"/>
        <v>0.9537690036900369</v>
      </c>
    </row>
    <row r="65" spans="1:10" s="125" customFormat="1" ht="15.75" customHeight="1">
      <c r="A65" s="210"/>
      <c r="B65" s="124"/>
      <c r="C65" s="17" t="s">
        <v>52</v>
      </c>
      <c r="D65" s="17" t="s">
        <v>53</v>
      </c>
      <c r="E65" s="17"/>
      <c r="F65" s="133"/>
      <c r="G65" s="139">
        <f>'2. Bevétel funkció'!F45+'2. Bevétel funkció'!F53+'2. Bevétel funkció'!F90+'2. Bevétel funkció'!F95+'2. Bevétel funkció'!F113+'2. Bevétel funkció'!F119</f>
        <v>22424000</v>
      </c>
      <c r="H65" s="139">
        <f>'2. Bevétel funkció'!G45+'2. Bevétel funkció'!G53+'2. Bevétel funkció'!G90+'2. Bevétel funkció'!G95+'2. Bevétel funkció'!G113+'2. Bevétel funkció'!G119+'2. Bevétel funkció'!G126</f>
        <v>27788600</v>
      </c>
      <c r="I65" s="139">
        <f>'2. Bevétel funkció'!H45+'2. Bevétel funkció'!H53+'2. Bevétel funkció'!H90+'2. Bevétel funkció'!H95+'2. Bevétel funkció'!H113+'2. Bevétel funkció'!H119+'2. Bevétel funkció'!H126</f>
        <v>27849920</v>
      </c>
      <c r="J65" s="184">
        <f t="shared" si="0"/>
        <v>1.002206660285153</v>
      </c>
    </row>
    <row r="66" spans="1:10" s="125" customFormat="1" ht="15.75" customHeight="1">
      <c r="A66" s="210"/>
      <c r="B66" s="124"/>
      <c r="C66" s="17" t="s">
        <v>90</v>
      </c>
      <c r="D66" s="17" t="s">
        <v>145</v>
      </c>
      <c r="E66" s="17"/>
      <c r="F66" s="133"/>
      <c r="G66" s="139">
        <v>11000000</v>
      </c>
      <c r="H66" s="139">
        <f>'2. Bevétel funkció'!G114+'2. Bevétel funkció'!G54</f>
        <v>10969000</v>
      </c>
      <c r="I66" s="139">
        <f>'2. Bevétel funkció'!H114+'2. Bevétel funkció'!H54</f>
        <v>11061000</v>
      </c>
      <c r="J66" s="184">
        <f t="shared" si="0"/>
        <v>1.0083872732245418</v>
      </c>
    </row>
    <row r="67" spans="1:10" ht="15.75" customHeight="1">
      <c r="A67" s="197"/>
      <c r="B67" s="17"/>
      <c r="C67" s="17" t="s">
        <v>54</v>
      </c>
      <c r="D67" s="17" t="s">
        <v>55</v>
      </c>
      <c r="E67" s="17"/>
      <c r="F67" s="134"/>
      <c r="G67" s="140">
        <v>50000</v>
      </c>
      <c r="H67" s="140">
        <v>50000</v>
      </c>
      <c r="I67" s="140">
        <f>'2. Bevétel funkció'!H18</f>
        <v>851</v>
      </c>
      <c r="J67" s="184">
        <f t="shared" si="0"/>
        <v>0.01702</v>
      </c>
    </row>
    <row r="68" spans="1:10" ht="15.75" customHeight="1">
      <c r="A68" s="197"/>
      <c r="B68" s="17"/>
      <c r="C68" s="17" t="s">
        <v>56</v>
      </c>
      <c r="D68" s="17" t="s">
        <v>57</v>
      </c>
      <c r="E68" s="17"/>
      <c r="F68" s="134"/>
      <c r="G68" s="140">
        <v>0</v>
      </c>
      <c r="H68" s="140">
        <v>0</v>
      </c>
      <c r="I68" s="140">
        <f>'2. Bevétel funkció'!H19</f>
        <v>107623</v>
      </c>
      <c r="J68" s="184"/>
    </row>
    <row r="69" spans="1:10" ht="15.75" customHeight="1">
      <c r="A69" s="197"/>
      <c r="B69" s="17"/>
      <c r="C69" s="17"/>
      <c r="D69" s="17"/>
      <c r="E69" s="17"/>
      <c r="F69" s="131"/>
      <c r="G69" s="127"/>
      <c r="H69" s="65"/>
      <c r="I69" s="65"/>
      <c r="J69" s="184"/>
    </row>
    <row r="70" spans="1:10" ht="15.75" customHeight="1">
      <c r="A70" s="200" t="s">
        <v>15</v>
      </c>
      <c r="B70" s="20"/>
      <c r="C70" s="20" t="s">
        <v>16</v>
      </c>
      <c r="D70" s="20"/>
      <c r="E70" s="20"/>
      <c r="F70" s="135"/>
      <c r="G70" s="137">
        <f>SUM(G71:G71)</f>
        <v>600000</v>
      </c>
      <c r="H70" s="137">
        <f>SUM(H71:H71)</f>
        <v>600000</v>
      </c>
      <c r="I70" s="137">
        <f>SUM(I71:I71)</f>
        <v>598146</v>
      </c>
      <c r="J70" s="192">
        <f t="shared" si="0"/>
        <v>0.99691</v>
      </c>
    </row>
    <row r="71" spans="1:10" ht="15.75" customHeight="1">
      <c r="A71" s="197"/>
      <c r="B71" s="17" t="s">
        <v>58</v>
      </c>
      <c r="C71" s="17"/>
      <c r="D71" s="17" t="s">
        <v>59</v>
      </c>
      <c r="E71" s="17"/>
      <c r="F71" s="129"/>
      <c r="G71" s="140">
        <v>600000</v>
      </c>
      <c r="H71" s="140">
        <v>600000</v>
      </c>
      <c r="I71" s="140">
        <f>'2. Bevétel funkció'!H21</f>
        <v>598146</v>
      </c>
      <c r="J71" s="184">
        <f t="shared" si="0"/>
        <v>0.99691</v>
      </c>
    </row>
    <row r="72" spans="1:10" ht="15.75" customHeight="1">
      <c r="A72" s="197"/>
      <c r="B72" s="17"/>
      <c r="C72" s="17"/>
      <c r="D72" s="17"/>
      <c r="E72" s="17"/>
      <c r="F72" s="129"/>
      <c r="G72" s="140"/>
      <c r="H72" s="65"/>
      <c r="I72" s="65"/>
      <c r="J72" s="184"/>
    </row>
    <row r="73" spans="1:10" ht="15.75" customHeight="1">
      <c r="A73" s="200" t="s">
        <v>10</v>
      </c>
      <c r="B73" s="20"/>
      <c r="C73" s="20" t="s">
        <v>11</v>
      </c>
      <c r="D73" s="20"/>
      <c r="E73" s="20"/>
      <c r="F73" s="135"/>
      <c r="G73" s="137">
        <f>SUM(G74:G74)</f>
        <v>350000</v>
      </c>
      <c r="H73" s="137">
        <f>SUM(H74:H74)</f>
        <v>903917</v>
      </c>
      <c r="I73" s="137">
        <f>SUM(I74:I74)</f>
        <v>640717</v>
      </c>
      <c r="J73" s="192">
        <f t="shared" si="0"/>
        <v>0.7088228233344434</v>
      </c>
    </row>
    <row r="74" spans="1:10" ht="15.75" customHeight="1">
      <c r="A74" s="197"/>
      <c r="B74" s="17" t="s">
        <v>400</v>
      </c>
      <c r="C74" s="17"/>
      <c r="D74" s="17" t="s">
        <v>11</v>
      </c>
      <c r="E74" s="17"/>
      <c r="F74" s="129"/>
      <c r="G74" s="140">
        <f>'2. Bevétel funkció'!F22</f>
        <v>350000</v>
      </c>
      <c r="H74" s="140">
        <f>'2. Bevétel funkció'!G22+'2. Bevétel funkció'!G127+'2. Bevétel funkció'!G106</f>
        <v>903917</v>
      </c>
      <c r="I74" s="140">
        <f>'2. Bevétel funkció'!H22+'2. Bevétel funkció'!H127+'2. Bevétel funkció'!H106</f>
        <v>640717</v>
      </c>
      <c r="J74" s="184">
        <f t="shared" si="0"/>
        <v>0.7088228233344434</v>
      </c>
    </row>
    <row r="75" spans="1:10" ht="15.75" customHeight="1">
      <c r="A75" s="197"/>
      <c r="B75" s="17"/>
      <c r="C75" s="17"/>
      <c r="D75" s="17"/>
      <c r="E75" s="17"/>
      <c r="F75" s="129"/>
      <c r="G75" s="140"/>
      <c r="H75" s="65"/>
      <c r="I75" s="65"/>
      <c r="J75" s="184"/>
    </row>
    <row r="76" spans="1:10" ht="15.75" customHeight="1">
      <c r="A76" s="211" t="s">
        <v>17</v>
      </c>
      <c r="B76" s="24"/>
      <c r="C76" s="24" t="s">
        <v>18</v>
      </c>
      <c r="D76" s="24"/>
      <c r="E76" s="24"/>
      <c r="F76" s="136"/>
      <c r="G76" s="141">
        <v>0</v>
      </c>
      <c r="H76" s="141">
        <f>SUM(H77)</f>
        <v>842595</v>
      </c>
      <c r="I76" s="141">
        <f>SUM(I77)</f>
        <v>842624</v>
      </c>
      <c r="J76" s="192">
        <f t="shared" si="0"/>
        <v>1.0000344174840818</v>
      </c>
    </row>
    <row r="77" spans="1:10" ht="18.75" customHeight="1">
      <c r="A77" s="197"/>
      <c r="B77" s="17" t="s">
        <v>397</v>
      </c>
      <c r="C77" s="17"/>
      <c r="D77" s="17" t="s">
        <v>396</v>
      </c>
      <c r="E77" s="17"/>
      <c r="F77" s="131"/>
      <c r="G77" s="127"/>
      <c r="H77" s="127">
        <f>'2. Bevétel funkció'!G96</f>
        <v>842595</v>
      </c>
      <c r="I77" s="127">
        <f>'2. Bevétel funkció'!H96</f>
        <v>842624</v>
      </c>
      <c r="J77" s="184">
        <f t="shared" si="0"/>
        <v>1.0000344174840818</v>
      </c>
    </row>
    <row r="78" spans="1:10" ht="18.75" customHeight="1">
      <c r="A78" s="197"/>
      <c r="B78" s="17"/>
      <c r="C78" s="17"/>
      <c r="D78" s="17"/>
      <c r="E78" s="17"/>
      <c r="F78" s="131"/>
      <c r="G78" s="127"/>
      <c r="H78" s="65"/>
      <c r="I78" s="65"/>
      <c r="J78" s="184"/>
    </row>
    <row r="79" spans="1:10" ht="15.75" customHeight="1">
      <c r="A79" s="200" t="s">
        <v>20</v>
      </c>
      <c r="B79" s="20"/>
      <c r="C79" s="20" t="s">
        <v>19</v>
      </c>
      <c r="D79" s="20"/>
      <c r="E79" s="20"/>
      <c r="F79" s="135"/>
      <c r="G79" s="137">
        <f>G80</f>
        <v>207000000</v>
      </c>
      <c r="H79" s="137">
        <f>H80</f>
        <v>209125406</v>
      </c>
      <c r="I79" s="137">
        <f>I80</f>
        <v>209125406</v>
      </c>
      <c r="J79" s="191">
        <f aca="true" t="shared" si="1" ref="J79:J84">I79/H79</f>
        <v>1</v>
      </c>
    </row>
    <row r="80" spans="1:10" ht="15.75" customHeight="1">
      <c r="A80" s="197"/>
      <c r="B80" s="16" t="s">
        <v>113</v>
      </c>
      <c r="C80" s="16"/>
      <c r="D80" s="16" t="s">
        <v>114</v>
      </c>
      <c r="E80" s="16"/>
      <c r="F80" s="129"/>
      <c r="G80" s="142">
        <f>G81+G82</f>
        <v>207000000</v>
      </c>
      <c r="H80" s="142">
        <f>H81+H82</f>
        <v>209125406</v>
      </c>
      <c r="I80" s="142">
        <f>I81+I82</f>
        <v>209125406</v>
      </c>
      <c r="J80" s="184">
        <f t="shared" si="1"/>
        <v>1</v>
      </c>
    </row>
    <row r="81" spans="1:10" ht="15.75" customHeight="1">
      <c r="A81" s="197"/>
      <c r="B81" s="17"/>
      <c r="C81" s="17" t="s">
        <v>115</v>
      </c>
      <c r="D81" s="17"/>
      <c r="E81" s="17" t="s">
        <v>116</v>
      </c>
      <c r="F81" s="129"/>
      <c r="G81" s="140">
        <f>'2. Bevétel funkció'!F81</f>
        <v>200000000</v>
      </c>
      <c r="H81" s="140">
        <f>'2. Bevétel funkció'!G81</f>
        <v>203900298</v>
      </c>
      <c r="I81" s="140">
        <f>'2. Bevétel funkció'!H81</f>
        <v>203900298</v>
      </c>
      <c r="J81" s="184">
        <f t="shared" si="1"/>
        <v>1</v>
      </c>
    </row>
    <row r="82" spans="1:10" ht="15.75" customHeight="1">
      <c r="A82" s="197"/>
      <c r="B82" s="17"/>
      <c r="C82" s="17" t="s">
        <v>147</v>
      </c>
      <c r="D82" s="17"/>
      <c r="E82" s="17" t="s">
        <v>148</v>
      </c>
      <c r="F82" s="131"/>
      <c r="G82" s="127">
        <f>'2. Bevétel funkció'!F70</f>
        <v>7000000</v>
      </c>
      <c r="H82" s="127">
        <f>'2. Bevétel funkció'!G70</f>
        <v>5225108</v>
      </c>
      <c r="I82" s="127">
        <f>'2. Bevétel funkció'!H70</f>
        <v>5225108</v>
      </c>
      <c r="J82" s="184">
        <f t="shared" si="1"/>
        <v>1</v>
      </c>
    </row>
    <row r="83" spans="1:10" ht="15.75" customHeight="1">
      <c r="A83" s="197"/>
      <c r="B83" s="17"/>
      <c r="C83" s="17"/>
      <c r="D83" s="17"/>
      <c r="E83" s="17"/>
      <c r="F83" s="131"/>
      <c r="G83" s="127"/>
      <c r="H83" s="127"/>
      <c r="I83" s="65"/>
      <c r="J83" s="184"/>
    </row>
    <row r="84" spans="1:10" ht="15.75" customHeight="1" thickBot="1">
      <c r="A84" s="212"/>
      <c r="B84" s="213"/>
      <c r="C84" s="213" t="s">
        <v>127</v>
      </c>
      <c r="D84" s="213"/>
      <c r="E84" s="213"/>
      <c r="F84" s="214"/>
      <c r="G84" s="215">
        <f>G10+G35+G39+G53+G70+G73+G76+G79</f>
        <v>568429161</v>
      </c>
      <c r="H84" s="215">
        <f>H10+H35+H39+H53+H70+H73+H76+H79</f>
        <v>693545873</v>
      </c>
      <c r="I84" s="215">
        <f>I10+I35+I39+I53+I70+I73+I76+I79</f>
        <v>693426383</v>
      </c>
      <c r="J84" s="192">
        <f t="shared" si="1"/>
        <v>0.9998277114684814</v>
      </c>
    </row>
  </sheetData>
  <sheetProtection selectLockedCells="1" selectUnlockedCells="1"/>
  <mergeCells count="16">
    <mergeCell ref="D60:E60"/>
    <mergeCell ref="D61:E61"/>
    <mergeCell ref="D62:E62"/>
    <mergeCell ref="D59:E59"/>
    <mergeCell ref="I7:I9"/>
    <mergeCell ref="J7:J9"/>
    <mergeCell ref="D56:E56"/>
    <mergeCell ref="A7:F9"/>
    <mergeCell ref="G7:G9"/>
    <mergeCell ref="D57:E57"/>
    <mergeCell ref="D58:E58"/>
    <mergeCell ref="H7:H9"/>
    <mergeCell ref="A1:J1"/>
    <mergeCell ref="A3:J3"/>
    <mergeCell ref="A4:J4"/>
    <mergeCell ref="A5:J5"/>
  </mergeCells>
  <printOptions headings="1"/>
  <pageMargins left="0.2362204724409449" right="0.2362204724409449" top="0.7480314960629921" bottom="0.7480314960629921" header="0.5118110236220472" footer="0.5118110236220472"/>
  <pageSetup horizontalDpi="300" verticalDpi="300" orientation="portrait" paperSize="9" scale="72" r:id="rId1"/>
  <rowBreaks count="1" manualBreakCount="1">
    <brk id="5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60" zoomScalePageLayoutView="0" workbookViewId="0" topLeftCell="A1">
      <selection activeCell="A5" sqref="A5:H5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1.421875" style="1" customWidth="1"/>
    <col min="4" max="4" width="47.28125" style="1" customWidth="1"/>
    <col min="5" max="5" width="14.00390625" style="1" bestFit="1" customWidth="1"/>
    <col min="6" max="6" width="12.140625" style="1" customWidth="1"/>
    <col min="7" max="7" width="9.421875" style="1" customWidth="1"/>
    <col min="8" max="8" width="14.00390625" style="1" bestFit="1" customWidth="1"/>
    <col min="9" max="16384" width="9.140625" style="1" customWidth="1"/>
  </cols>
  <sheetData>
    <row r="1" spans="1:8" ht="15.75">
      <c r="A1" s="338" t="s">
        <v>442</v>
      </c>
      <c r="B1" s="338"/>
      <c r="C1" s="338"/>
      <c r="D1" s="338"/>
      <c r="E1" s="338"/>
      <c r="F1" s="338"/>
      <c r="G1" s="338"/>
      <c r="H1" s="338"/>
    </row>
    <row r="2" spans="1:8" ht="15.75">
      <c r="A2" s="25"/>
      <c r="B2" s="25"/>
      <c r="C2" s="25"/>
      <c r="D2" s="3"/>
      <c r="E2" s="3"/>
      <c r="F2" s="3"/>
      <c r="G2" s="3"/>
      <c r="H2" s="3"/>
    </row>
    <row r="3" spans="1:8" ht="15.75">
      <c r="A3" s="310" t="s">
        <v>0</v>
      </c>
      <c r="B3" s="310"/>
      <c r="C3" s="310"/>
      <c r="D3" s="310"/>
      <c r="E3" s="310"/>
      <c r="F3" s="310"/>
      <c r="G3" s="310"/>
      <c r="H3" s="310"/>
    </row>
    <row r="4" spans="1:8" ht="15.75">
      <c r="A4" s="339" t="s">
        <v>666</v>
      </c>
      <c r="B4" s="339"/>
      <c r="C4" s="339"/>
      <c r="D4" s="339"/>
      <c r="E4" s="339"/>
      <c r="F4" s="339"/>
      <c r="G4" s="339"/>
      <c r="H4" s="339"/>
    </row>
    <row r="5" spans="1:8" ht="15.75">
      <c r="A5" s="339" t="s">
        <v>149</v>
      </c>
      <c r="B5" s="339"/>
      <c r="C5" s="339"/>
      <c r="D5" s="339"/>
      <c r="E5" s="339"/>
      <c r="F5" s="339"/>
      <c r="G5" s="339"/>
      <c r="H5" s="339"/>
    </row>
    <row r="6" spans="4:8" ht="15.75">
      <c r="D6" s="26"/>
      <c r="E6" s="340" t="s">
        <v>150</v>
      </c>
      <c r="F6" s="340"/>
      <c r="G6" s="340"/>
      <c r="H6" s="340"/>
    </row>
    <row r="7" spans="1:8" ht="12.75" customHeight="1">
      <c r="A7" s="341" t="s">
        <v>151</v>
      </c>
      <c r="B7" s="341"/>
      <c r="C7" s="341"/>
      <c r="D7" s="341"/>
      <c r="E7" s="342" t="s">
        <v>152</v>
      </c>
      <c r="F7" s="342" t="s">
        <v>153</v>
      </c>
      <c r="G7" s="342" t="s">
        <v>154</v>
      </c>
      <c r="H7" s="342" t="s">
        <v>155</v>
      </c>
    </row>
    <row r="8" spans="1:8" ht="15.75">
      <c r="A8" s="341"/>
      <c r="B8" s="341"/>
      <c r="C8" s="341"/>
      <c r="D8" s="341"/>
      <c r="E8" s="342"/>
      <c r="F8" s="342"/>
      <c r="G8" s="342"/>
      <c r="H8" s="342"/>
    </row>
    <row r="9" spans="1:8" ht="38.25" customHeight="1">
      <c r="A9" s="341"/>
      <c r="B9" s="341"/>
      <c r="C9" s="341"/>
      <c r="D9" s="341"/>
      <c r="E9" s="342"/>
      <c r="F9" s="342"/>
      <c r="G9" s="342"/>
      <c r="H9" s="342"/>
    </row>
    <row r="10" spans="1:9" ht="15.75">
      <c r="A10" s="343" t="s">
        <v>156</v>
      </c>
      <c r="B10" s="343"/>
      <c r="C10" s="343"/>
      <c r="D10" s="343"/>
      <c r="E10" s="28">
        <f>'2. Bevétel funkció'!H10</f>
        <v>1838241</v>
      </c>
      <c r="F10" s="29"/>
      <c r="G10" s="29"/>
      <c r="H10" s="28">
        <f aca="true" t="shared" si="0" ref="H10:H27">E10+F10+G10</f>
        <v>1838241</v>
      </c>
      <c r="I10" s="30"/>
    </row>
    <row r="11" spans="1:9" ht="15.75">
      <c r="A11" s="31" t="s">
        <v>157</v>
      </c>
      <c r="B11" s="31"/>
      <c r="C11" s="31"/>
      <c r="D11" s="31"/>
      <c r="E11" s="32">
        <f>'2. Bevétel funkció'!H27</f>
        <v>155322687</v>
      </c>
      <c r="F11" s="32"/>
      <c r="G11" s="33"/>
      <c r="H11" s="28">
        <f t="shared" si="0"/>
        <v>155322687</v>
      </c>
      <c r="I11" s="34"/>
    </row>
    <row r="12" spans="1:9" ht="15.75">
      <c r="A12" s="343" t="s">
        <v>158</v>
      </c>
      <c r="B12" s="343"/>
      <c r="C12" s="343"/>
      <c r="D12" s="343"/>
      <c r="E12" s="28">
        <f>'2. Bevétel funkció'!H42</f>
        <v>92710</v>
      </c>
      <c r="F12" s="28"/>
      <c r="G12" s="35"/>
      <c r="H12" s="28">
        <f t="shared" si="0"/>
        <v>92710</v>
      </c>
      <c r="I12" s="34"/>
    </row>
    <row r="13" spans="1:9" ht="15.75">
      <c r="A13" s="343" t="s">
        <v>159</v>
      </c>
      <c r="B13" s="343"/>
      <c r="C13" s="343"/>
      <c r="D13" s="343"/>
      <c r="E13" s="28">
        <f>'2. Bevétel funkció'!H47</f>
        <v>90327803</v>
      </c>
      <c r="F13" s="28"/>
      <c r="G13" s="35"/>
      <c r="H13" s="28">
        <f t="shared" si="0"/>
        <v>90327803</v>
      </c>
      <c r="I13" s="34"/>
    </row>
    <row r="14" spans="1:9" ht="15.75">
      <c r="A14" s="344" t="s">
        <v>160</v>
      </c>
      <c r="B14" s="344"/>
      <c r="C14" s="344"/>
      <c r="D14" s="344"/>
      <c r="E14" s="32">
        <f>'2. Bevétel funkció'!H56</f>
        <v>133164850</v>
      </c>
      <c r="F14" s="32"/>
      <c r="G14" s="33"/>
      <c r="H14" s="28">
        <f t="shared" si="0"/>
        <v>133164850</v>
      </c>
      <c r="I14" s="34"/>
    </row>
    <row r="15" spans="1:9" ht="15.75">
      <c r="A15" s="31" t="s">
        <v>161</v>
      </c>
      <c r="B15" s="31"/>
      <c r="C15" s="31"/>
      <c r="D15" s="31"/>
      <c r="E15" s="32">
        <f>'2. Bevétel funkció'!H68</f>
        <v>5225108</v>
      </c>
      <c r="F15" s="32"/>
      <c r="G15" s="33"/>
      <c r="H15" s="28">
        <f t="shared" si="0"/>
        <v>5225108</v>
      </c>
      <c r="I15" s="34"/>
    </row>
    <row r="16" spans="1:9" ht="15.75">
      <c r="A16" s="344" t="s">
        <v>162</v>
      </c>
      <c r="B16" s="344"/>
      <c r="C16" s="344"/>
      <c r="D16" s="344"/>
      <c r="E16" s="32">
        <f>'2. Bevétel funkció'!H72</f>
        <v>238144456</v>
      </c>
      <c r="F16" s="32"/>
      <c r="G16" s="33"/>
      <c r="H16" s="28">
        <f t="shared" si="0"/>
        <v>238144456</v>
      </c>
      <c r="I16" s="34"/>
    </row>
    <row r="17" spans="1:9" ht="15.75">
      <c r="A17" s="31" t="s">
        <v>163</v>
      </c>
      <c r="B17" s="31"/>
      <c r="C17" s="31"/>
      <c r="D17" s="31"/>
      <c r="E17" s="32">
        <f>'2. Bevétel funkció'!H83</f>
        <v>2179947</v>
      </c>
      <c r="F17" s="32"/>
      <c r="G17" s="33"/>
      <c r="H17" s="28">
        <f t="shared" si="0"/>
        <v>2179947</v>
      </c>
      <c r="I17" s="34"/>
    </row>
    <row r="18" spans="1:9" ht="15.75">
      <c r="A18" s="31" t="s">
        <v>388</v>
      </c>
      <c r="B18" s="31"/>
      <c r="C18" s="31"/>
      <c r="D18" s="31"/>
      <c r="E18" s="32"/>
      <c r="F18" s="32">
        <f>'2. Bevétel funkció'!H87</f>
        <v>370000</v>
      </c>
      <c r="G18" s="33"/>
      <c r="H18" s="28">
        <f t="shared" si="0"/>
        <v>370000</v>
      </c>
      <c r="I18" s="34"/>
    </row>
    <row r="19" spans="1:9" ht="15.75">
      <c r="A19" s="343" t="s">
        <v>118</v>
      </c>
      <c r="B19" s="343"/>
      <c r="C19" s="343"/>
      <c r="D19" s="343"/>
      <c r="E19" s="28"/>
      <c r="F19" s="28">
        <f>'2. Bevétel funkció'!H92</f>
        <v>1121384</v>
      </c>
      <c r="G19" s="35"/>
      <c r="H19" s="28">
        <f t="shared" si="0"/>
        <v>1121384</v>
      </c>
      <c r="I19" s="34"/>
    </row>
    <row r="20" spans="1:9" ht="15.75">
      <c r="A20" s="343" t="s">
        <v>406</v>
      </c>
      <c r="B20" s="343"/>
      <c r="C20" s="343"/>
      <c r="D20" s="343"/>
      <c r="E20" s="28"/>
      <c r="F20" s="28">
        <f>'2. Bevétel funkció'!H99</f>
        <v>12982946</v>
      </c>
      <c r="G20" s="35"/>
      <c r="H20" s="28">
        <f t="shared" si="0"/>
        <v>12982946</v>
      </c>
      <c r="I20" s="34"/>
    </row>
    <row r="21" spans="1:9" ht="15.75">
      <c r="A21" s="343" t="s">
        <v>121</v>
      </c>
      <c r="B21" s="343"/>
      <c r="C21" s="343"/>
      <c r="D21" s="343"/>
      <c r="E21" s="28">
        <v>0</v>
      </c>
      <c r="F21" s="28"/>
      <c r="G21" s="35"/>
      <c r="H21" s="28">
        <f t="shared" si="0"/>
        <v>0</v>
      </c>
      <c r="I21" s="36"/>
    </row>
    <row r="22" spans="1:9" ht="15.75">
      <c r="A22" s="343" t="s">
        <v>122</v>
      </c>
      <c r="B22" s="343"/>
      <c r="C22" s="343"/>
      <c r="D22" s="343"/>
      <c r="E22" s="28">
        <v>0</v>
      </c>
      <c r="F22" s="28"/>
      <c r="G22" s="35"/>
      <c r="H22" s="28">
        <f t="shared" si="0"/>
        <v>0</v>
      </c>
      <c r="I22" s="36"/>
    </row>
    <row r="23" spans="1:9" ht="15.75">
      <c r="A23" s="343" t="s">
        <v>123</v>
      </c>
      <c r="B23" s="343"/>
      <c r="C23" s="343"/>
      <c r="D23" s="343"/>
      <c r="E23" s="28"/>
      <c r="F23" s="28">
        <f>'2. Bevétel funkció'!H106</f>
        <v>29400</v>
      </c>
      <c r="G23" s="35"/>
      <c r="H23" s="28">
        <f t="shared" si="0"/>
        <v>29400</v>
      </c>
      <c r="I23" s="36"/>
    </row>
    <row r="24" spans="1:9" ht="15.75">
      <c r="A24" s="343" t="s">
        <v>124</v>
      </c>
      <c r="B24" s="343"/>
      <c r="C24" s="343"/>
      <c r="D24" s="343"/>
      <c r="E24" s="28"/>
      <c r="F24" s="28">
        <f>'2. Bevétel funkció'!H110</f>
        <v>51036621</v>
      </c>
      <c r="G24" s="35"/>
      <c r="H24" s="28">
        <f t="shared" si="0"/>
        <v>51036621</v>
      </c>
      <c r="I24" s="36"/>
    </row>
    <row r="25" spans="1:9" ht="15.75">
      <c r="A25" s="343" t="s">
        <v>126</v>
      </c>
      <c r="B25" s="343"/>
      <c r="C25" s="343"/>
      <c r="D25" s="343"/>
      <c r="E25" s="28"/>
      <c r="F25" s="28">
        <f>'2. Bevétel funkció'!H116</f>
        <v>153350</v>
      </c>
      <c r="G25" s="35"/>
      <c r="H25" s="28">
        <f t="shared" si="0"/>
        <v>153350</v>
      </c>
      <c r="I25" s="36"/>
    </row>
    <row r="26" spans="1:9" ht="15.75">
      <c r="A26" s="343" t="s">
        <v>164</v>
      </c>
      <c r="B26" s="343"/>
      <c r="C26" s="343"/>
      <c r="D26" s="343"/>
      <c r="E26" s="28"/>
      <c r="F26" s="28">
        <f>'2. Bevétel funkció'!H121</f>
        <v>836880</v>
      </c>
      <c r="G26" s="35"/>
      <c r="H26" s="28">
        <f t="shared" si="0"/>
        <v>836880</v>
      </c>
      <c r="I26" s="36"/>
    </row>
    <row r="27" spans="1:9" ht="15.75">
      <c r="A27" s="343" t="s">
        <v>430</v>
      </c>
      <c r="B27" s="343"/>
      <c r="C27" s="343"/>
      <c r="D27" s="343"/>
      <c r="E27" s="28"/>
      <c r="F27" s="28">
        <f>'2. Bevétel funkció'!H130</f>
        <v>600000</v>
      </c>
      <c r="G27" s="35"/>
      <c r="H27" s="28">
        <f t="shared" si="0"/>
        <v>600000</v>
      </c>
      <c r="I27" s="36"/>
    </row>
    <row r="28" spans="1:9" ht="15.75">
      <c r="A28" s="345" t="s">
        <v>127</v>
      </c>
      <c r="B28" s="345"/>
      <c r="C28" s="345"/>
      <c r="D28" s="345"/>
      <c r="E28" s="38">
        <f>SUM(E10:E26)</f>
        <v>626295802</v>
      </c>
      <c r="F28" s="38">
        <f>SUM(F10:F26)</f>
        <v>66530581</v>
      </c>
      <c r="G28" s="38">
        <f>SUM(G10:G26)</f>
        <v>0</v>
      </c>
      <c r="H28" s="38">
        <f>SUM(H10:H27)</f>
        <v>693426383</v>
      </c>
      <c r="I28" s="34"/>
    </row>
  </sheetData>
  <sheetProtection selectLockedCells="1" selectUnlockedCells="1"/>
  <mergeCells count="25">
    <mergeCell ref="A21:D21"/>
    <mergeCell ref="A20:D20"/>
    <mergeCell ref="A28:D28"/>
    <mergeCell ref="A22:D22"/>
    <mergeCell ref="A23:D23"/>
    <mergeCell ref="A24:D24"/>
    <mergeCell ref="A25:D25"/>
    <mergeCell ref="A26:D26"/>
    <mergeCell ref="A27:D27"/>
    <mergeCell ref="A10:D10"/>
    <mergeCell ref="A12:D12"/>
    <mergeCell ref="A13:D13"/>
    <mergeCell ref="A14:D14"/>
    <mergeCell ref="A16:D16"/>
    <mergeCell ref="A19:D19"/>
    <mergeCell ref="A1:H1"/>
    <mergeCell ref="A3:H3"/>
    <mergeCell ref="A4:H4"/>
    <mergeCell ref="A5:H5"/>
    <mergeCell ref="E6:H6"/>
    <mergeCell ref="A7:D9"/>
    <mergeCell ref="E7:E9"/>
    <mergeCell ref="F7:F9"/>
    <mergeCell ref="G7:G9"/>
    <mergeCell ref="H7:H9"/>
  </mergeCells>
  <printOptions headings="1"/>
  <pageMargins left="0.7083333333333334" right="0.6527777777777778" top="0.7479166666666667" bottom="0.7479166666666667" header="0.5118055555555555" footer="0.5118055555555555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0"/>
  <sheetViews>
    <sheetView view="pageBreakPreview" zoomScaleSheetLayoutView="100" zoomScalePageLayoutView="0" workbookViewId="0" topLeftCell="A1">
      <selection activeCell="E91" sqref="E91"/>
    </sheetView>
  </sheetViews>
  <sheetFormatPr defaultColWidth="9.140625" defaultRowHeight="12.75" customHeight="1"/>
  <cols>
    <col min="1" max="1" width="4.140625" style="39" customWidth="1"/>
    <col min="2" max="2" width="4.8515625" style="36" customWidth="1"/>
    <col min="3" max="3" width="7.140625" style="36" customWidth="1"/>
    <col min="4" max="4" width="6.421875" style="36" customWidth="1"/>
    <col min="5" max="5" width="56.00390625" style="36" customWidth="1"/>
    <col min="6" max="6" width="9.8515625" style="36" customWidth="1"/>
    <col min="7" max="7" width="16.140625" style="36" customWidth="1"/>
    <col min="8" max="8" width="14.00390625" style="1" customWidth="1"/>
    <col min="9" max="9" width="12.28125" style="169" customWidth="1"/>
    <col min="10" max="10" width="12.140625" style="1" bestFit="1" customWidth="1"/>
    <col min="11" max="16384" width="9.140625" style="1" customWidth="1"/>
  </cols>
  <sheetData>
    <row r="1" spans="1:10" ht="15.75" customHeight="1">
      <c r="A1" s="349" t="s">
        <v>443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7" ht="15.75" customHeight="1">
      <c r="A2" s="287"/>
      <c r="B2" s="287"/>
      <c r="C2" s="287"/>
      <c r="D2" s="287"/>
      <c r="E2" s="287"/>
      <c r="F2" s="287"/>
      <c r="G2" s="287"/>
    </row>
    <row r="3" spans="1:10" ht="15.75" customHeight="1">
      <c r="A3" s="310" t="s">
        <v>0</v>
      </c>
      <c r="B3" s="310"/>
      <c r="C3" s="310"/>
      <c r="D3" s="310"/>
      <c r="E3" s="310"/>
      <c r="F3" s="310"/>
      <c r="G3" s="310"/>
      <c r="H3" s="310"/>
      <c r="I3" s="310"/>
      <c r="J3" s="310"/>
    </row>
    <row r="4" spans="1:10" ht="15.75" customHeight="1">
      <c r="A4" s="310" t="s">
        <v>665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5.75" customHeight="1">
      <c r="A5" s="310" t="s">
        <v>43</v>
      </c>
      <c r="B5" s="310"/>
      <c r="C5" s="310"/>
      <c r="D5" s="310"/>
      <c r="E5" s="310"/>
      <c r="F5" s="310"/>
      <c r="G5" s="310"/>
      <c r="H5" s="310"/>
      <c r="I5" s="310"/>
      <c r="J5" s="310"/>
    </row>
    <row r="6" spans="1:8" ht="15.75" customHeight="1" thickBot="1">
      <c r="A6" s="349"/>
      <c r="B6" s="349"/>
      <c r="C6" s="349"/>
      <c r="D6" s="349"/>
      <c r="E6" s="349"/>
      <c r="F6" s="349"/>
      <c r="G6" s="349"/>
      <c r="H6" s="349"/>
    </row>
    <row r="7" spans="1:10" ht="15.75" customHeight="1">
      <c r="A7" s="350" t="s">
        <v>166</v>
      </c>
      <c r="B7" s="351"/>
      <c r="C7" s="351"/>
      <c r="D7" s="351"/>
      <c r="E7" s="351"/>
      <c r="F7" s="330" t="s">
        <v>167</v>
      </c>
      <c r="G7" s="306" t="s">
        <v>2</v>
      </c>
      <c r="H7" s="306" t="s">
        <v>393</v>
      </c>
      <c r="I7" s="324" t="s">
        <v>462</v>
      </c>
      <c r="J7" s="285" t="s">
        <v>463</v>
      </c>
    </row>
    <row r="8" spans="1:10" s="13" customFormat="1" ht="19.5" customHeight="1">
      <c r="A8" s="352"/>
      <c r="B8" s="353"/>
      <c r="C8" s="353"/>
      <c r="D8" s="353"/>
      <c r="E8" s="353"/>
      <c r="F8" s="331"/>
      <c r="G8" s="307"/>
      <c r="H8" s="307"/>
      <c r="I8" s="325"/>
      <c r="J8" s="286"/>
    </row>
    <row r="9" spans="1:10" s="34" customFormat="1" ht="15.75" customHeight="1">
      <c r="A9" s="176" t="s">
        <v>168</v>
      </c>
      <c r="B9" s="69"/>
      <c r="C9" s="69"/>
      <c r="D9" s="69"/>
      <c r="E9" s="69"/>
      <c r="F9" s="69"/>
      <c r="G9" s="70">
        <f>G10+G24+G27+G49+G62+G58</f>
        <v>97911910</v>
      </c>
      <c r="H9" s="70">
        <f>H10+H24+H27+H49+H62+H58</f>
        <v>179413185</v>
      </c>
      <c r="I9" s="70">
        <f>I10+I24+I27+I49+I62+I58</f>
        <v>38432137</v>
      </c>
      <c r="J9" s="192">
        <f>I9/H9</f>
        <v>0.21421021537519663</v>
      </c>
    </row>
    <row r="10" spans="1:10" s="34" customFormat="1" ht="15.75" customHeight="1">
      <c r="A10" s="216" t="s">
        <v>23</v>
      </c>
      <c r="B10" s="72"/>
      <c r="C10" s="72" t="s">
        <v>169</v>
      </c>
      <c r="D10" s="72"/>
      <c r="E10" s="72"/>
      <c r="F10" s="67">
        <v>1.5</v>
      </c>
      <c r="G10" s="73">
        <f>G11+G16</f>
        <v>15027760</v>
      </c>
      <c r="H10" s="73">
        <f>H11+H16</f>
        <v>15355953</v>
      </c>
      <c r="I10" s="73">
        <f>I11+I16</f>
        <v>13212062</v>
      </c>
      <c r="J10" s="217">
        <f aca="true" t="shared" si="0" ref="J10:J73">I10/H10</f>
        <v>0.8603869782617856</v>
      </c>
    </row>
    <row r="11" spans="1:10" s="34" customFormat="1" ht="15.75" customHeight="1">
      <c r="A11" s="218"/>
      <c r="B11" s="72" t="s">
        <v>170</v>
      </c>
      <c r="C11" s="72"/>
      <c r="D11" s="72" t="s">
        <v>171</v>
      </c>
      <c r="E11" s="72"/>
      <c r="F11" s="75"/>
      <c r="G11" s="73">
        <f>SUM(G12:G14)</f>
        <v>2438000</v>
      </c>
      <c r="H11" s="73">
        <f>SUM(H12:H15)</f>
        <v>2389080</v>
      </c>
      <c r="I11" s="73">
        <f>SUM(I12:I15)</f>
        <v>675630</v>
      </c>
      <c r="J11" s="217">
        <f t="shared" si="0"/>
        <v>0.2827992365261942</v>
      </c>
    </row>
    <row r="12" spans="1:10" s="34" customFormat="1" ht="15.75" customHeight="1">
      <c r="A12" s="219"/>
      <c r="B12" s="75"/>
      <c r="C12" s="75" t="s">
        <v>172</v>
      </c>
      <c r="D12" s="75" t="s">
        <v>173</v>
      </c>
      <c r="E12" s="75"/>
      <c r="F12" s="75"/>
      <c r="G12" s="76">
        <v>2204000</v>
      </c>
      <c r="H12" s="76">
        <v>2129376</v>
      </c>
      <c r="I12" s="92">
        <v>558670</v>
      </c>
      <c r="J12" s="217">
        <f t="shared" si="0"/>
        <v>0.2623632463219272</v>
      </c>
    </row>
    <row r="13" spans="1:10" s="34" customFormat="1" ht="15.75" customHeight="1">
      <c r="A13" s="219"/>
      <c r="B13" s="75"/>
      <c r="C13" s="75" t="s">
        <v>359</v>
      </c>
      <c r="D13" s="75" t="s">
        <v>391</v>
      </c>
      <c r="E13" s="75"/>
      <c r="F13" s="75"/>
      <c r="G13" s="76">
        <v>85000</v>
      </c>
      <c r="H13" s="76">
        <v>85000</v>
      </c>
      <c r="I13" s="92"/>
      <c r="J13" s="217">
        <f t="shared" si="0"/>
        <v>0</v>
      </c>
    </row>
    <row r="14" spans="1:10" s="34" customFormat="1" ht="15.75" customHeight="1">
      <c r="A14" s="218"/>
      <c r="B14" s="75"/>
      <c r="C14" s="75" t="s">
        <v>174</v>
      </c>
      <c r="D14" s="75" t="s">
        <v>175</v>
      </c>
      <c r="E14" s="75"/>
      <c r="F14" s="75"/>
      <c r="G14" s="76">
        <v>149000</v>
      </c>
      <c r="H14" s="76">
        <v>149000</v>
      </c>
      <c r="I14" s="92">
        <v>91256</v>
      </c>
      <c r="J14" s="217">
        <f t="shared" si="0"/>
        <v>0.6124563758389262</v>
      </c>
    </row>
    <row r="15" spans="1:10" s="34" customFormat="1" ht="15.75" customHeight="1">
      <c r="A15" s="218"/>
      <c r="B15" s="75"/>
      <c r="C15" s="75" t="s">
        <v>254</v>
      </c>
      <c r="D15" s="354" t="s">
        <v>447</v>
      </c>
      <c r="E15" s="355"/>
      <c r="F15" s="75"/>
      <c r="G15" s="76">
        <v>0</v>
      </c>
      <c r="H15" s="76">
        <v>25704</v>
      </c>
      <c r="I15" s="92">
        <v>25704</v>
      </c>
      <c r="J15" s="217">
        <f t="shared" si="0"/>
        <v>1</v>
      </c>
    </row>
    <row r="16" spans="1:10" s="34" customFormat="1" ht="15.75" customHeight="1">
      <c r="A16" s="218"/>
      <c r="B16" s="72" t="s">
        <v>176</v>
      </c>
      <c r="C16" s="72"/>
      <c r="D16" s="72" t="s">
        <v>177</v>
      </c>
      <c r="E16" s="72"/>
      <c r="F16" s="75"/>
      <c r="G16" s="73">
        <f>G17+G23</f>
        <v>12589760</v>
      </c>
      <c r="H16" s="73">
        <f>H17+H23</f>
        <v>12966873</v>
      </c>
      <c r="I16" s="73">
        <f>I17+I23</f>
        <v>12536432</v>
      </c>
      <c r="J16" s="217">
        <f t="shared" si="0"/>
        <v>0.9668045642152893</v>
      </c>
    </row>
    <row r="17" spans="1:10" s="34" customFormat="1" ht="15.75" customHeight="1">
      <c r="A17" s="218"/>
      <c r="B17" s="75"/>
      <c r="C17" s="75" t="s">
        <v>178</v>
      </c>
      <c r="D17" s="75" t="s">
        <v>179</v>
      </c>
      <c r="E17" s="75"/>
      <c r="F17" s="75"/>
      <c r="G17" s="76">
        <f>SUM(G18:G22)</f>
        <v>12089760</v>
      </c>
      <c r="H17" s="76">
        <f>SUM(H18:H22)</f>
        <v>12089760</v>
      </c>
      <c r="I17" s="76">
        <f>SUM(I18:I22)</f>
        <v>11659319</v>
      </c>
      <c r="J17" s="217">
        <f t="shared" si="0"/>
        <v>0.9643962328449862</v>
      </c>
    </row>
    <row r="18" spans="1:10" s="34" customFormat="1" ht="15.75" customHeight="1">
      <c r="A18" s="218"/>
      <c r="B18" s="75"/>
      <c r="C18" s="75"/>
      <c r="D18" s="75"/>
      <c r="E18" s="77" t="s">
        <v>180</v>
      </c>
      <c r="F18" s="75"/>
      <c r="G18" s="78">
        <v>4786800</v>
      </c>
      <c r="H18" s="78">
        <v>4786800</v>
      </c>
      <c r="I18" s="92">
        <v>4786800</v>
      </c>
      <c r="J18" s="217">
        <f t="shared" si="0"/>
        <v>1</v>
      </c>
    </row>
    <row r="19" spans="1:10" s="34" customFormat="1" ht="15.75" customHeight="1">
      <c r="A19" s="218"/>
      <c r="B19" s="75"/>
      <c r="C19" s="75"/>
      <c r="D19" s="75"/>
      <c r="E19" s="77" t="s">
        <v>181</v>
      </c>
      <c r="F19" s="75"/>
      <c r="G19" s="78">
        <v>700000</v>
      </c>
      <c r="H19" s="78">
        <v>700000</v>
      </c>
      <c r="I19" s="92">
        <v>0</v>
      </c>
      <c r="J19" s="217">
        <f t="shared" si="0"/>
        <v>0</v>
      </c>
    </row>
    <row r="20" spans="1:10" s="34" customFormat="1" ht="15.75" customHeight="1">
      <c r="A20" s="218"/>
      <c r="B20" s="75"/>
      <c r="C20" s="75"/>
      <c r="D20" s="75"/>
      <c r="E20" s="77" t="s">
        <v>175</v>
      </c>
      <c r="F20" s="75"/>
      <c r="G20" s="78">
        <v>149000</v>
      </c>
      <c r="H20" s="78">
        <v>149000</v>
      </c>
      <c r="I20" s="92">
        <v>149000</v>
      </c>
      <c r="J20" s="217">
        <f t="shared" si="0"/>
        <v>1</v>
      </c>
    </row>
    <row r="21" spans="1:10" s="34" customFormat="1" ht="15.75" customHeight="1">
      <c r="A21" s="218"/>
      <c r="B21" s="75"/>
      <c r="C21" s="75"/>
      <c r="D21" s="75"/>
      <c r="E21" s="77" t="s">
        <v>182</v>
      </c>
      <c r="F21" s="75"/>
      <c r="G21" s="78">
        <v>5520000</v>
      </c>
      <c r="H21" s="78">
        <v>5520000</v>
      </c>
      <c r="I21" s="92">
        <v>5789559</v>
      </c>
      <c r="J21" s="217">
        <f t="shared" si="0"/>
        <v>1.0488331521739132</v>
      </c>
    </row>
    <row r="22" spans="1:10" s="34" customFormat="1" ht="15.75" customHeight="1">
      <c r="A22" s="218"/>
      <c r="B22" s="75"/>
      <c r="C22" s="75"/>
      <c r="D22" s="77"/>
      <c r="E22" s="77" t="s">
        <v>183</v>
      </c>
      <c r="F22" s="75"/>
      <c r="G22" s="78">
        <v>933960</v>
      </c>
      <c r="H22" s="78">
        <v>933960</v>
      </c>
      <c r="I22" s="92">
        <v>933960</v>
      </c>
      <c r="J22" s="217">
        <f t="shared" si="0"/>
        <v>1</v>
      </c>
    </row>
    <row r="23" spans="1:10" s="34" customFormat="1" ht="15.75" customHeight="1">
      <c r="A23" s="218"/>
      <c r="B23" s="75"/>
      <c r="C23" s="75" t="s">
        <v>184</v>
      </c>
      <c r="D23" s="75" t="s">
        <v>185</v>
      </c>
      <c r="E23" s="75"/>
      <c r="F23" s="75"/>
      <c r="G23" s="76">
        <v>500000</v>
      </c>
      <c r="H23" s="76">
        <v>877113</v>
      </c>
      <c r="I23" s="92">
        <v>877113</v>
      </c>
      <c r="J23" s="217">
        <f t="shared" si="0"/>
        <v>1</v>
      </c>
    </row>
    <row r="24" spans="1:10" s="34" customFormat="1" ht="15.75" customHeight="1">
      <c r="A24" s="216" t="s">
        <v>25</v>
      </c>
      <c r="B24" s="72"/>
      <c r="C24" s="72" t="s">
        <v>186</v>
      </c>
      <c r="D24" s="79"/>
      <c r="E24" s="79"/>
      <c r="F24" s="80"/>
      <c r="G24" s="73">
        <f>SUM(G25:G26)</f>
        <v>3611892</v>
      </c>
      <c r="H24" s="73">
        <f>SUM(H25:H26)</f>
        <v>3611892</v>
      </c>
      <c r="I24" s="73">
        <f>SUM(I25:I26)</f>
        <v>2622198</v>
      </c>
      <c r="J24" s="217">
        <f t="shared" si="0"/>
        <v>0.7259901458847606</v>
      </c>
    </row>
    <row r="25" spans="1:10" s="34" customFormat="1" ht="15.75" customHeight="1">
      <c r="A25" s="218"/>
      <c r="B25" s="75"/>
      <c r="C25" s="75"/>
      <c r="D25" s="77" t="s">
        <v>187</v>
      </c>
      <c r="E25" s="75"/>
      <c r="F25" s="75"/>
      <c r="G25" s="76">
        <f>3452692+97500+17000</f>
        <v>3567192</v>
      </c>
      <c r="H25" s="76">
        <f>3452692+97500+17000</f>
        <v>3567192</v>
      </c>
      <c r="I25" s="92">
        <v>2575675</v>
      </c>
      <c r="J25" s="217">
        <f t="shared" si="0"/>
        <v>0.7220455192767868</v>
      </c>
    </row>
    <row r="26" spans="1:10" s="34" customFormat="1" ht="15.75" customHeight="1">
      <c r="A26" s="218"/>
      <c r="B26" s="75"/>
      <c r="C26" s="75"/>
      <c r="D26" s="77" t="s">
        <v>188</v>
      </c>
      <c r="E26" s="75"/>
      <c r="F26" s="75"/>
      <c r="G26" s="76">
        <v>44700</v>
      </c>
      <c r="H26" s="76">
        <v>44700</v>
      </c>
      <c r="I26" s="92">
        <v>46523</v>
      </c>
      <c r="J26" s="217">
        <f t="shared" si="0"/>
        <v>1.0407829977628635</v>
      </c>
    </row>
    <row r="27" spans="1:10" s="34" customFormat="1" ht="15.75" customHeight="1">
      <c r="A27" s="216" t="s">
        <v>27</v>
      </c>
      <c r="B27" s="72"/>
      <c r="C27" s="72" t="s">
        <v>28</v>
      </c>
      <c r="D27" s="72"/>
      <c r="E27" s="72"/>
      <c r="F27" s="75"/>
      <c r="G27" s="73">
        <f>G28+G31+G34+G42+G45</f>
        <v>19610000</v>
      </c>
      <c r="H27" s="73">
        <f>H28+H31+H34+H42+H45</f>
        <v>19610010</v>
      </c>
      <c r="I27" s="73">
        <f>I28+I31+I34+I42+I45</f>
        <v>14732077</v>
      </c>
      <c r="J27" s="217">
        <f t="shared" si="0"/>
        <v>0.7512529060413534</v>
      </c>
    </row>
    <row r="28" spans="1:10" s="40" customFormat="1" ht="15.75" customHeight="1">
      <c r="A28" s="220"/>
      <c r="B28" s="72" t="s">
        <v>189</v>
      </c>
      <c r="C28" s="82"/>
      <c r="D28" s="72" t="s">
        <v>190</v>
      </c>
      <c r="E28" s="83"/>
      <c r="F28" s="81"/>
      <c r="G28" s="73">
        <f>G29+G30</f>
        <v>1330000</v>
      </c>
      <c r="H28" s="73">
        <f>H29+H30</f>
        <v>1330000</v>
      </c>
      <c r="I28" s="73">
        <f>I29+I30</f>
        <v>1012882</v>
      </c>
      <c r="J28" s="217">
        <f t="shared" si="0"/>
        <v>0.7615654135338346</v>
      </c>
    </row>
    <row r="29" spans="1:10" s="34" customFormat="1" ht="15.75" customHeight="1">
      <c r="A29" s="218"/>
      <c r="B29" s="75"/>
      <c r="C29" s="75" t="s">
        <v>191</v>
      </c>
      <c r="D29" s="75" t="s">
        <v>192</v>
      </c>
      <c r="E29" s="81"/>
      <c r="F29" s="81"/>
      <c r="G29" s="76">
        <v>400000</v>
      </c>
      <c r="H29" s="76">
        <v>400000</v>
      </c>
      <c r="I29" s="92">
        <v>182233</v>
      </c>
      <c r="J29" s="217">
        <f t="shared" si="0"/>
        <v>0.4555825</v>
      </c>
    </row>
    <row r="30" spans="1:10" s="34" customFormat="1" ht="15.75" customHeight="1">
      <c r="A30" s="218"/>
      <c r="B30" s="75"/>
      <c r="C30" s="75" t="s">
        <v>194</v>
      </c>
      <c r="D30" s="75" t="s">
        <v>195</v>
      </c>
      <c r="E30" s="75"/>
      <c r="F30" s="75"/>
      <c r="G30" s="76">
        <v>930000</v>
      </c>
      <c r="H30" s="76">
        <v>930000</v>
      </c>
      <c r="I30" s="92">
        <v>830649</v>
      </c>
      <c r="J30" s="217">
        <f t="shared" si="0"/>
        <v>0.8931709677419355</v>
      </c>
    </row>
    <row r="31" spans="1:10" s="40" customFormat="1" ht="15.75" customHeight="1">
      <c r="A31" s="220"/>
      <c r="B31" s="72" t="s">
        <v>197</v>
      </c>
      <c r="C31" s="82"/>
      <c r="D31" s="72" t="s">
        <v>198</v>
      </c>
      <c r="E31" s="82"/>
      <c r="F31" s="77"/>
      <c r="G31" s="73">
        <f>G32+G33</f>
        <v>1800000</v>
      </c>
      <c r="H31" s="73">
        <f>H32+H33</f>
        <v>1800000</v>
      </c>
      <c r="I31" s="73">
        <f>I32+I33</f>
        <v>1620447</v>
      </c>
      <c r="J31" s="217">
        <f t="shared" si="0"/>
        <v>0.9002483333333333</v>
      </c>
    </row>
    <row r="32" spans="1:10" s="34" customFormat="1" ht="15.75" customHeight="1">
      <c r="A32" s="218"/>
      <c r="B32" s="75"/>
      <c r="C32" s="75" t="s">
        <v>199</v>
      </c>
      <c r="D32" s="75" t="s">
        <v>357</v>
      </c>
      <c r="E32" s="75"/>
      <c r="F32" s="75"/>
      <c r="G32" s="76">
        <v>1100000</v>
      </c>
      <c r="H32" s="76">
        <v>1100000</v>
      </c>
      <c r="I32" s="92">
        <v>1112162</v>
      </c>
      <c r="J32" s="217">
        <f t="shared" si="0"/>
        <v>1.0110563636363636</v>
      </c>
    </row>
    <row r="33" spans="1:10" s="34" customFormat="1" ht="15.75" customHeight="1">
      <c r="A33" s="218"/>
      <c r="B33" s="75"/>
      <c r="C33" s="75" t="s">
        <v>201</v>
      </c>
      <c r="D33" s="75" t="s">
        <v>358</v>
      </c>
      <c r="E33" s="75"/>
      <c r="F33" s="75"/>
      <c r="G33" s="76">
        <v>700000</v>
      </c>
      <c r="H33" s="76">
        <v>700000</v>
      </c>
      <c r="I33" s="92">
        <v>508285</v>
      </c>
      <c r="J33" s="217">
        <f t="shared" si="0"/>
        <v>0.7261214285714286</v>
      </c>
    </row>
    <row r="34" spans="1:10" s="40" customFormat="1" ht="15.75" customHeight="1">
      <c r="A34" s="220"/>
      <c r="B34" s="72" t="s">
        <v>203</v>
      </c>
      <c r="C34" s="82"/>
      <c r="D34" s="72" t="s">
        <v>204</v>
      </c>
      <c r="E34" s="82"/>
      <c r="F34" s="77"/>
      <c r="G34" s="73">
        <f>G35+G39+G40+G41</f>
        <v>12900000</v>
      </c>
      <c r="H34" s="73">
        <f>H35+H39+H40+H41</f>
        <v>12900000</v>
      </c>
      <c r="I34" s="73">
        <f>I35+I39+I40+I41</f>
        <v>10059913</v>
      </c>
      <c r="J34" s="217">
        <f t="shared" si="0"/>
        <v>0.7798382170542636</v>
      </c>
    </row>
    <row r="35" spans="1:10" s="34" customFormat="1" ht="15.75" customHeight="1">
      <c r="A35" s="218"/>
      <c r="B35" s="75"/>
      <c r="C35" s="75" t="s">
        <v>205</v>
      </c>
      <c r="D35" s="75" t="s">
        <v>206</v>
      </c>
      <c r="E35" s="75"/>
      <c r="F35" s="75"/>
      <c r="G35" s="76">
        <f>SUM(G36:G38)</f>
        <v>2300000</v>
      </c>
      <c r="H35" s="76">
        <f>SUM(H36:H38)</f>
        <v>2300000</v>
      </c>
      <c r="I35" s="92">
        <f>SUM(I36:I38)</f>
        <v>1696269</v>
      </c>
      <c r="J35" s="217">
        <f t="shared" si="0"/>
        <v>0.7375082608695652</v>
      </c>
    </row>
    <row r="36" spans="1:10" s="34" customFormat="1" ht="15.75" customHeight="1">
      <c r="A36" s="218"/>
      <c r="B36" s="75"/>
      <c r="C36" s="75"/>
      <c r="D36" s="75"/>
      <c r="E36" s="77" t="s">
        <v>207</v>
      </c>
      <c r="F36" s="75"/>
      <c r="G36" s="76">
        <v>400000</v>
      </c>
      <c r="H36" s="76">
        <v>400000</v>
      </c>
      <c r="I36" s="92">
        <v>300000</v>
      </c>
      <c r="J36" s="217">
        <f t="shared" si="0"/>
        <v>0.75</v>
      </c>
    </row>
    <row r="37" spans="1:10" s="34" customFormat="1" ht="15.75" customHeight="1">
      <c r="A37" s="218"/>
      <c r="B37" s="75"/>
      <c r="C37" s="75"/>
      <c r="D37" s="75"/>
      <c r="E37" s="77" t="s">
        <v>208</v>
      </c>
      <c r="F37" s="75"/>
      <c r="G37" s="76">
        <v>1800000</v>
      </c>
      <c r="H37" s="76">
        <v>1800000</v>
      </c>
      <c r="I37" s="92">
        <v>1346269</v>
      </c>
      <c r="J37" s="217">
        <f t="shared" si="0"/>
        <v>0.7479272222222222</v>
      </c>
    </row>
    <row r="38" spans="1:10" s="34" customFormat="1" ht="15.75" customHeight="1">
      <c r="A38" s="218"/>
      <c r="B38" s="75"/>
      <c r="C38" s="75"/>
      <c r="D38" s="75"/>
      <c r="E38" s="77" t="s">
        <v>209</v>
      </c>
      <c r="F38" s="75"/>
      <c r="G38" s="76">
        <v>100000</v>
      </c>
      <c r="H38" s="76">
        <v>100000</v>
      </c>
      <c r="I38" s="92">
        <v>50000</v>
      </c>
      <c r="J38" s="217">
        <f t="shared" si="0"/>
        <v>0.5</v>
      </c>
    </row>
    <row r="39" spans="1:10" s="34" customFormat="1" ht="15.75" customHeight="1">
      <c r="A39" s="218"/>
      <c r="B39" s="75"/>
      <c r="C39" s="75" t="s">
        <v>210</v>
      </c>
      <c r="D39" s="75" t="s">
        <v>211</v>
      </c>
      <c r="E39" s="75"/>
      <c r="F39" s="75"/>
      <c r="G39" s="76">
        <v>300000</v>
      </c>
      <c r="H39" s="76">
        <v>300000</v>
      </c>
      <c r="I39" s="92">
        <v>220010</v>
      </c>
      <c r="J39" s="217">
        <f t="shared" si="0"/>
        <v>0.7333666666666666</v>
      </c>
    </row>
    <row r="40" spans="1:10" s="34" customFormat="1" ht="15.75" customHeight="1">
      <c r="A40" s="218"/>
      <c r="B40" s="75"/>
      <c r="C40" s="75" t="s">
        <v>212</v>
      </c>
      <c r="D40" s="75" t="s">
        <v>213</v>
      </c>
      <c r="E40" s="75"/>
      <c r="F40" s="75"/>
      <c r="G40" s="76">
        <v>300000</v>
      </c>
      <c r="H40" s="76">
        <v>300000</v>
      </c>
      <c r="I40" s="92">
        <v>198910</v>
      </c>
      <c r="J40" s="217">
        <f t="shared" si="0"/>
        <v>0.6630333333333334</v>
      </c>
    </row>
    <row r="41" spans="1:10" s="34" customFormat="1" ht="15.75" customHeight="1">
      <c r="A41" s="218"/>
      <c r="B41" s="75"/>
      <c r="C41" s="75" t="s">
        <v>214</v>
      </c>
      <c r="D41" s="75" t="s">
        <v>215</v>
      </c>
      <c r="E41" s="75"/>
      <c r="F41" s="75"/>
      <c r="G41" s="76">
        <v>10000000</v>
      </c>
      <c r="H41" s="76">
        <v>10000000</v>
      </c>
      <c r="I41" s="92">
        <v>7944724</v>
      </c>
      <c r="J41" s="217">
        <f t="shared" si="0"/>
        <v>0.7944724</v>
      </c>
    </row>
    <row r="42" spans="1:10" s="40" customFormat="1" ht="15.75" customHeight="1">
      <c r="A42" s="220"/>
      <c r="B42" s="72" t="s">
        <v>216</v>
      </c>
      <c r="C42" s="82"/>
      <c r="D42" s="72" t="s">
        <v>217</v>
      </c>
      <c r="E42" s="82"/>
      <c r="F42" s="77"/>
      <c r="G42" s="73">
        <f aca="true" t="shared" si="1" ref="G42:I43">G43</f>
        <v>50000</v>
      </c>
      <c r="H42" s="73">
        <f t="shared" si="1"/>
        <v>50000</v>
      </c>
      <c r="I42" s="73">
        <f t="shared" si="1"/>
        <v>0</v>
      </c>
      <c r="J42" s="217">
        <f t="shared" si="0"/>
        <v>0</v>
      </c>
    </row>
    <row r="43" spans="1:10" s="34" customFormat="1" ht="15.75" customHeight="1">
      <c r="A43" s="218"/>
      <c r="B43" s="75"/>
      <c r="C43" s="75" t="s">
        <v>218</v>
      </c>
      <c r="D43" s="75" t="s">
        <v>219</v>
      </c>
      <c r="E43" s="75"/>
      <c r="F43" s="75"/>
      <c r="G43" s="76">
        <f t="shared" si="1"/>
        <v>50000</v>
      </c>
      <c r="H43" s="76">
        <f t="shared" si="1"/>
        <v>50000</v>
      </c>
      <c r="I43" s="76">
        <f t="shared" si="1"/>
        <v>0</v>
      </c>
      <c r="J43" s="217">
        <f t="shared" si="0"/>
        <v>0</v>
      </c>
    </row>
    <row r="44" spans="1:10" s="34" customFormat="1" ht="15.75" customHeight="1">
      <c r="A44" s="218"/>
      <c r="B44" s="75"/>
      <c r="C44" s="75"/>
      <c r="D44" s="75"/>
      <c r="E44" s="77" t="s">
        <v>220</v>
      </c>
      <c r="F44" s="75"/>
      <c r="G44" s="76">
        <v>50000</v>
      </c>
      <c r="H44" s="76">
        <v>50000</v>
      </c>
      <c r="I44" s="92">
        <v>0</v>
      </c>
      <c r="J44" s="217">
        <f t="shared" si="0"/>
        <v>0</v>
      </c>
    </row>
    <row r="45" spans="1:10" s="40" customFormat="1" ht="15.75" customHeight="1">
      <c r="A45" s="220"/>
      <c r="B45" s="72" t="s">
        <v>221</v>
      </c>
      <c r="C45" s="82"/>
      <c r="D45" s="72" t="s">
        <v>222</v>
      </c>
      <c r="E45" s="82"/>
      <c r="F45" s="77"/>
      <c r="G45" s="73">
        <f>G46+G47</f>
        <v>3530000</v>
      </c>
      <c r="H45" s="73">
        <f>H46+H47+H48</f>
        <v>3530010</v>
      </c>
      <c r="I45" s="73">
        <f>I46+I47+I48</f>
        <v>2038835</v>
      </c>
      <c r="J45" s="217">
        <f t="shared" si="0"/>
        <v>0.5775720182095802</v>
      </c>
    </row>
    <row r="46" spans="1:10" s="34" customFormat="1" ht="15.75" customHeight="1">
      <c r="A46" s="218"/>
      <c r="B46" s="75"/>
      <c r="C46" s="75" t="s">
        <v>223</v>
      </c>
      <c r="D46" s="75" t="s">
        <v>224</v>
      </c>
      <c r="E46" s="75"/>
      <c r="F46" s="75"/>
      <c r="G46" s="84">
        <v>3500000</v>
      </c>
      <c r="H46" s="84">
        <v>3500000</v>
      </c>
      <c r="I46" s="92">
        <v>2028548</v>
      </c>
      <c r="J46" s="217">
        <f t="shared" si="0"/>
        <v>0.5795851428571429</v>
      </c>
    </row>
    <row r="47" spans="1:10" s="34" customFormat="1" ht="15.75" customHeight="1">
      <c r="A47" s="218"/>
      <c r="B47" s="75"/>
      <c r="C47" s="75" t="s">
        <v>225</v>
      </c>
      <c r="D47" s="75" t="s">
        <v>226</v>
      </c>
      <c r="E47" s="75"/>
      <c r="F47" s="75"/>
      <c r="G47" s="84">
        <v>30000</v>
      </c>
      <c r="H47" s="84">
        <v>30000</v>
      </c>
      <c r="I47" s="92">
        <v>10284</v>
      </c>
      <c r="J47" s="217">
        <f t="shared" si="0"/>
        <v>0.3428</v>
      </c>
    </row>
    <row r="48" spans="1:10" s="34" customFormat="1" ht="15.75" customHeight="1">
      <c r="A48" s="218"/>
      <c r="B48" s="75"/>
      <c r="C48" s="75" t="s">
        <v>445</v>
      </c>
      <c r="D48" s="354" t="s">
        <v>446</v>
      </c>
      <c r="E48" s="355"/>
      <c r="F48" s="75"/>
      <c r="G48" s="84"/>
      <c r="H48" s="84">
        <v>10</v>
      </c>
      <c r="I48" s="92">
        <v>3</v>
      </c>
      <c r="J48" s="217">
        <f t="shared" si="0"/>
        <v>0.3</v>
      </c>
    </row>
    <row r="49" spans="1:10" s="41" customFormat="1" ht="15.75" customHeight="1">
      <c r="A49" s="216" t="s">
        <v>31</v>
      </c>
      <c r="B49" s="72"/>
      <c r="C49" s="72" t="s">
        <v>32</v>
      </c>
      <c r="D49" s="72"/>
      <c r="E49" s="72"/>
      <c r="F49" s="72"/>
      <c r="G49" s="73">
        <f>G50+G54+G57</f>
        <v>58449258</v>
      </c>
      <c r="H49" s="73">
        <f>H50+H54+H57</f>
        <v>139622330</v>
      </c>
      <c r="I49" s="73">
        <f>I50+I54+I57</f>
        <v>7217800</v>
      </c>
      <c r="J49" s="217">
        <f t="shared" si="0"/>
        <v>0.051695169390168466</v>
      </c>
    </row>
    <row r="50" spans="1:10" s="34" customFormat="1" ht="15.75" customHeight="1">
      <c r="A50" s="218"/>
      <c r="B50" s="75"/>
      <c r="C50" s="75" t="s">
        <v>227</v>
      </c>
      <c r="D50" s="75" t="s">
        <v>228</v>
      </c>
      <c r="E50" s="75"/>
      <c r="F50" s="75"/>
      <c r="G50" s="73">
        <f>SUM(G51:G53)</f>
        <v>20449258</v>
      </c>
      <c r="H50" s="73">
        <f>SUM(H51:H53)</f>
        <v>0</v>
      </c>
      <c r="I50" s="73">
        <f>SUM(I51:I53)</f>
        <v>0</v>
      </c>
      <c r="J50" s="217"/>
    </row>
    <row r="51" spans="1:10" s="34" customFormat="1" ht="15.75" customHeight="1">
      <c r="A51" s="218"/>
      <c r="B51" s="75"/>
      <c r="C51" s="75"/>
      <c r="D51" s="75"/>
      <c r="E51" s="85" t="s">
        <v>229</v>
      </c>
      <c r="F51" s="85"/>
      <c r="G51" s="76">
        <v>19131258</v>
      </c>
      <c r="H51" s="76">
        <v>0</v>
      </c>
      <c r="I51" s="92">
        <v>0</v>
      </c>
      <c r="J51" s="217"/>
    </row>
    <row r="52" spans="1:10" s="34" customFormat="1" ht="15.75" customHeight="1">
      <c r="A52" s="218"/>
      <c r="B52" s="75"/>
      <c r="C52" s="75"/>
      <c r="D52" s="75"/>
      <c r="E52" s="75" t="s">
        <v>230</v>
      </c>
      <c r="F52" s="75"/>
      <c r="G52" s="76">
        <v>751000</v>
      </c>
      <c r="H52" s="76">
        <v>0</v>
      </c>
      <c r="I52" s="92">
        <v>0</v>
      </c>
      <c r="J52" s="217"/>
    </row>
    <row r="53" spans="1:10" s="34" customFormat="1" ht="15.75" customHeight="1">
      <c r="A53" s="218"/>
      <c r="B53" s="75"/>
      <c r="C53" s="75"/>
      <c r="D53" s="75"/>
      <c r="E53" s="75" t="s">
        <v>231</v>
      </c>
      <c r="F53" s="75"/>
      <c r="G53" s="76">
        <v>567000</v>
      </c>
      <c r="H53" s="76">
        <v>0</v>
      </c>
      <c r="I53" s="92">
        <v>0</v>
      </c>
      <c r="J53" s="217"/>
    </row>
    <row r="54" spans="1:10" s="34" customFormat="1" ht="15.75" customHeight="1">
      <c r="A54" s="218"/>
      <c r="B54" s="75"/>
      <c r="C54" s="75" t="s">
        <v>232</v>
      </c>
      <c r="D54" s="75" t="s">
        <v>233</v>
      </c>
      <c r="E54" s="75"/>
      <c r="F54" s="75"/>
      <c r="G54" s="73">
        <f>G55</f>
        <v>1500000</v>
      </c>
      <c r="H54" s="73">
        <f>H55+H56</f>
        <v>8237800</v>
      </c>
      <c r="I54" s="73">
        <f>I55+I56</f>
        <v>7217800</v>
      </c>
      <c r="J54" s="217">
        <f t="shared" si="0"/>
        <v>0.8761805336376217</v>
      </c>
    </row>
    <row r="55" spans="1:10" s="34" customFormat="1" ht="15.75" customHeight="1">
      <c r="A55" s="218"/>
      <c r="B55" s="75"/>
      <c r="C55" s="75"/>
      <c r="D55" s="75"/>
      <c r="E55" s="75" t="s">
        <v>350</v>
      </c>
      <c r="F55" s="75"/>
      <c r="G55" s="76">
        <v>1500000</v>
      </c>
      <c r="H55" s="76">
        <v>1500000</v>
      </c>
      <c r="I55" s="92">
        <v>480000</v>
      </c>
      <c r="J55" s="217">
        <f t="shared" si="0"/>
        <v>0.32</v>
      </c>
    </row>
    <row r="56" spans="1:10" s="34" customFormat="1" ht="15.75" customHeight="1">
      <c r="A56" s="218"/>
      <c r="B56" s="75"/>
      <c r="C56" s="75"/>
      <c r="D56" s="75"/>
      <c r="E56" s="75" t="s">
        <v>421</v>
      </c>
      <c r="F56" s="75"/>
      <c r="G56" s="76">
        <v>0</v>
      </c>
      <c r="H56" s="76">
        <v>6737800</v>
      </c>
      <c r="I56" s="92">
        <v>6737800</v>
      </c>
      <c r="J56" s="217">
        <f t="shared" si="0"/>
        <v>1</v>
      </c>
    </row>
    <row r="57" spans="1:10" s="34" customFormat="1" ht="15.75" customHeight="1">
      <c r="A57" s="218"/>
      <c r="B57" s="75"/>
      <c r="C57" s="75" t="s">
        <v>234</v>
      </c>
      <c r="D57" s="75" t="s">
        <v>235</v>
      </c>
      <c r="E57" s="75"/>
      <c r="F57" s="75"/>
      <c r="G57" s="76">
        <v>36500000</v>
      </c>
      <c r="H57" s="76">
        <v>131384530</v>
      </c>
      <c r="I57" s="92">
        <v>0</v>
      </c>
      <c r="J57" s="217">
        <f t="shared" si="0"/>
        <v>0</v>
      </c>
    </row>
    <row r="58" spans="1:10" s="34" customFormat="1" ht="15.75" customHeight="1">
      <c r="A58" s="221" t="s">
        <v>34</v>
      </c>
      <c r="B58" s="75"/>
      <c r="C58" s="72" t="s">
        <v>35</v>
      </c>
      <c r="D58" s="75"/>
      <c r="E58" s="75"/>
      <c r="F58" s="75"/>
      <c r="G58" s="73">
        <f>SUM(G59:G61)</f>
        <v>1148000</v>
      </c>
      <c r="H58" s="73">
        <f>SUM(H59:H61)</f>
        <v>1148000</v>
      </c>
      <c r="I58" s="73">
        <f>SUM(I59:I61)</f>
        <v>648000</v>
      </c>
      <c r="J58" s="217">
        <f t="shared" si="0"/>
        <v>0.5644599303135889</v>
      </c>
    </row>
    <row r="59" spans="1:10" s="34" customFormat="1" ht="15.75" customHeight="1">
      <c r="A59" s="221"/>
      <c r="B59" s="75"/>
      <c r="C59" s="75" t="s">
        <v>382</v>
      </c>
      <c r="D59" s="75"/>
      <c r="E59" s="75" t="s">
        <v>385</v>
      </c>
      <c r="F59" s="75"/>
      <c r="G59" s="76">
        <v>393700</v>
      </c>
      <c r="H59" s="76">
        <v>393700</v>
      </c>
      <c r="I59" s="92">
        <v>0</v>
      </c>
      <c r="J59" s="217">
        <f t="shared" si="0"/>
        <v>0</v>
      </c>
    </row>
    <row r="60" spans="1:10" s="34" customFormat="1" ht="15.75" customHeight="1">
      <c r="A60" s="218"/>
      <c r="B60" s="75"/>
      <c r="C60" s="75" t="s">
        <v>236</v>
      </c>
      <c r="D60" s="75"/>
      <c r="E60" s="75" t="s">
        <v>237</v>
      </c>
      <c r="F60" s="75"/>
      <c r="G60" s="76">
        <v>648000</v>
      </c>
      <c r="H60" s="76">
        <v>648000</v>
      </c>
      <c r="I60" s="92">
        <v>648000</v>
      </c>
      <c r="J60" s="217">
        <f t="shared" si="0"/>
        <v>1</v>
      </c>
    </row>
    <row r="61" spans="1:10" s="34" customFormat="1" ht="15.75" customHeight="1">
      <c r="A61" s="218"/>
      <c r="B61" s="75"/>
      <c r="C61" s="75" t="s">
        <v>261</v>
      </c>
      <c r="D61" s="75"/>
      <c r="E61" s="75" t="s">
        <v>262</v>
      </c>
      <c r="F61" s="75"/>
      <c r="G61" s="76">
        <v>106300</v>
      </c>
      <c r="H61" s="76">
        <v>106300</v>
      </c>
      <c r="I61" s="92">
        <v>0</v>
      </c>
      <c r="J61" s="217">
        <f t="shared" si="0"/>
        <v>0</v>
      </c>
    </row>
    <row r="62" spans="1:10" s="34" customFormat="1" ht="15.75" customHeight="1">
      <c r="A62" s="216" t="s">
        <v>38</v>
      </c>
      <c r="B62" s="72"/>
      <c r="C62" s="72" t="s">
        <v>39</v>
      </c>
      <c r="D62" s="72"/>
      <c r="E62" s="72"/>
      <c r="F62" s="75"/>
      <c r="G62" s="73">
        <f>SUM(G63)</f>
        <v>65000</v>
      </c>
      <c r="H62" s="73">
        <f>SUM(H63)</f>
        <v>65000</v>
      </c>
      <c r="I62" s="73">
        <f>SUM(I63)</f>
        <v>0</v>
      </c>
      <c r="J62" s="217">
        <f t="shared" si="0"/>
        <v>0</v>
      </c>
    </row>
    <row r="63" spans="1:10" s="34" customFormat="1" ht="15.75" customHeight="1">
      <c r="A63" s="218"/>
      <c r="B63" s="72" t="s">
        <v>238</v>
      </c>
      <c r="C63" s="72"/>
      <c r="D63" s="72" t="s">
        <v>239</v>
      </c>
      <c r="E63" s="72"/>
      <c r="F63" s="72"/>
      <c r="G63" s="73">
        <f>SUM(G64:G64)</f>
        <v>65000</v>
      </c>
      <c r="H63" s="73">
        <f>SUM(H64:H64)</f>
        <v>65000</v>
      </c>
      <c r="I63" s="73">
        <f>SUM(I64:I64)</f>
        <v>0</v>
      </c>
      <c r="J63" s="217">
        <f t="shared" si="0"/>
        <v>0</v>
      </c>
    </row>
    <row r="64" spans="1:10" s="34" customFormat="1" ht="15.75" customHeight="1">
      <c r="A64" s="218"/>
      <c r="B64" s="75"/>
      <c r="C64" s="75"/>
      <c r="D64" s="75"/>
      <c r="E64" s="75" t="s">
        <v>240</v>
      </c>
      <c r="F64" s="75"/>
      <c r="G64" s="76">
        <v>65000</v>
      </c>
      <c r="H64" s="76">
        <v>65000</v>
      </c>
      <c r="I64" s="92">
        <v>0</v>
      </c>
      <c r="J64" s="217">
        <f t="shared" si="0"/>
        <v>0</v>
      </c>
    </row>
    <row r="65" spans="1:10" s="34" customFormat="1" ht="15.75" customHeight="1">
      <c r="A65" s="218"/>
      <c r="B65" s="75"/>
      <c r="C65" s="75"/>
      <c r="D65" s="75"/>
      <c r="E65" s="75"/>
      <c r="F65" s="75"/>
      <c r="G65" s="76"/>
      <c r="H65" s="159"/>
      <c r="I65" s="92"/>
      <c r="J65" s="217"/>
    </row>
    <row r="66" spans="1:10" s="34" customFormat="1" ht="15.75" customHeight="1">
      <c r="A66" s="176" t="s">
        <v>241</v>
      </c>
      <c r="B66" s="69"/>
      <c r="C66" s="69"/>
      <c r="D66" s="69"/>
      <c r="E66" s="69"/>
      <c r="F66" s="86"/>
      <c r="G66" s="70">
        <f>G69+G67</f>
        <v>567000</v>
      </c>
      <c r="H66" s="70">
        <f>H69+H67</f>
        <v>3198611</v>
      </c>
      <c r="I66" s="70">
        <f>I69+I67</f>
        <v>3198611</v>
      </c>
      <c r="J66" s="192">
        <f t="shared" si="0"/>
        <v>1</v>
      </c>
    </row>
    <row r="67" spans="1:10" s="34" customFormat="1" ht="15.75" customHeight="1">
      <c r="A67" s="216" t="s">
        <v>27</v>
      </c>
      <c r="B67" s="72"/>
      <c r="C67" s="72" t="s">
        <v>28</v>
      </c>
      <c r="D67" s="143"/>
      <c r="E67" s="143"/>
      <c r="F67" s="144"/>
      <c r="G67" s="145">
        <f>SUM(G68)</f>
        <v>0</v>
      </c>
      <c r="H67" s="145">
        <f>SUM(H68)</f>
        <v>51089</v>
      </c>
      <c r="I67" s="145">
        <f>SUM(I68)</f>
        <v>51089</v>
      </c>
      <c r="J67" s="217">
        <f t="shared" si="0"/>
        <v>1</v>
      </c>
    </row>
    <row r="68" spans="1:10" s="34" customFormat="1" ht="15.75" customHeight="1">
      <c r="A68" s="216"/>
      <c r="B68" s="72" t="s">
        <v>221</v>
      </c>
      <c r="C68" s="82"/>
      <c r="D68" s="75" t="s">
        <v>222</v>
      </c>
      <c r="E68" s="82"/>
      <c r="F68" s="144"/>
      <c r="G68" s="146">
        <v>0</v>
      </c>
      <c r="H68" s="146">
        <v>51089</v>
      </c>
      <c r="I68" s="146">
        <v>51089</v>
      </c>
      <c r="J68" s="217">
        <f t="shared" si="0"/>
        <v>1</v>
      </c>
    </row>
    <row r="69" spans="1:10" s="34" customFormat="1" ht="15.75" customHeight="1">
      <c r="A69" s="216" t="s">
        <v>31</v>
      </c>
      <c r="B69" s="75"/>
      <c r="C69" s="72" t="s">
        <v>32</v>
      </c>
      <c r="D69" s="72"/>
      <c r="E69" s="72"/>
      <c r="F69" s="72"/>
      <c r="G69" s="73">
        <f>G70</f>
        <v>567000</v>
      </c>
      <c r="H69" s="73">
        <f>H70</f>
        <v>3147522</v>
      </c>
      <c r="I69" s="73">
        <f>I70</f>
        <v>3147522</v>
      </c>
      <c r="J69" s="217">
        <f t="shared" si="0"/>
        <v>1</v>
      </c>
    </row>
    <row r="70" spans="1:10" s="34" customFormat="1" ht="15.75" customHeight="1">
      <c r="A70" s="216"/>
      <c r="B70" s="75"/>
      <c r="C70" s="75" t="s">
        <v>242</v>
      </c>
      <c r="D70" s="75" t="s">
        <v>243</v>
      </c>
      <c r="E70" s="75"/>
      <c r="F70" s="72"/>
      <c r="G70" s="76">
        <v>567000</v>
      </c>
      <c r="H70" s="76">
        <v>3147522</v>
      </c>
      <c r="I70" s="76">
        <v>3147522</v>
      </c>
      <c r="J70" s="217">
        <f t="shared" si="0"/>
        <v>1</v>
      </c>
    </row>
    <row r="71" spans="1:10" s="34" customFormat="1" ht="15.75" customHeight="1">
      <c r="A71" s="216"/>
      <c r="B71" s="75"/>
      <c r="C71" s="72"/>
      <c r="D71" s="72"/>
      <c r="E71" s="75"/>
      <c r="F71" s="72"/>
      <c r="G71" s="76"/>
      <c r="H71" s="159"/>
      <c r="I71" s="92"/>
      <c r="J71" s="217"/>
    </row>
    <row r="72" spans="1:10" s="34" customFormat="1" ht="15.75" customHeight="1">
      <c r="A72" s="176" t="s">
        <v>244</v>
      </c>
      <c r="B72" s="69"/>
      <c r="C72" s="69"/>
      <c r="D72" s="69"/>
      <c r="E72" s="69"/>
      <c r="F72" s="86"/>
      <c r="G72" s="70">
        <f>G73</f>
        <v>7307999</v>
      </c>
      <c r="H72" s="70">
        <f>H73</f>
        <v>5762819</v>
      </c>
      <c r="I72" s="70">
        <f>I73</f>
        <v>5762819</v>
      </c>
      <c r="J72" s="192">
        <f t="shared" si="0"/>
        <v>1</v>
      </c>
    </row>
    <row r="73" spans="1:10" s="34" customFormat="1" ht="15.75" customHeight="1">
      <c r="A73" s="216" t="s">
        <v>41</v>
      </c>
      <c r="B73" s="75"/>
      <c r="C73" s="72" t="s">
        <v>40</v>
      </c>
      <c r="D73" s="72"/>
      <c r="E73" s="72"/>
      <c r="F73" s="72"/>
      <c r="G73" s="73">
        <f>G74+G75</f>
        <v>7307999</v>
      </c>
      <c r="H73" s="73">
        <f>H74+H75</f>
        <v>5762819</v>
      </c>
      <c r="I73" s="73">
        <f>I74+I75</f>
        <v>5762819</v>
      </c>
      <c r="J73" s="217">
        <f t="shared" si="0"/>
        <v>1</v>
      </c>
    </row>
    <row r="74" spans="1:10" s="34" customFormat="1" ht="15.75" customHeight="1">
      <c r="A74" s="216"/>
      <c r="B74" s="75"/>
      <c r="C74" s="72" t="s">
        <v>245</v>
      </c>
      <c r="D74" s="72"/>
      <c r="E74" s="75" t="s">
        <v>246</v>
      </c>
      <c r="F74" s="72"/>
      <c r="G74" s="76">
        <v>4307999</v>
      </c>
      <c r="H74" s="76">
        <v>4307999</v>
      </c>
      <c r="I74" s="76">
        <v>4307999</v>
      </c>
      <c r="J74" s="217">
        <f aca="true" t="shared" si="2" ref="J74:J137">I74/H74</f>
        <v>1</v>
      </c>
    </row>
    <row r="75" spans="1:10" s="34" customFormat="1" ht="15.75" customHeight="1">
      <c r="A75" s="216"/>
      <c r="B75" s="75"/>
      <c r="C75" s="72"/>
      <c r="D75" s="72"/>
      <c r="E75" s="75" t="s">
        <v>247</v>
      </c>
      <c r="F75" s="72"/>
      <c r="G75" s="76">
        <v>3000000</v>
      </c>
      <c r="H75" s="76">
        <v>1454820</v>
      </c>
      <c r="I75" s="92">
        <v>1454820</v>
      </c>
      <c r="J75" s="217">
        <f t="shared" si="2"/>
        <v>1</v>
      </c>
    </row>
    <row r="76" spans="1:10" s="34" customFormat="1" ht="15.75" customHeight="1">
      <c r="A76" s="216"/>
      <c r="B76" s="75"/>
      <c r="C76" s="72"/>
      <c r="D76" s="72"/>
      <c r="E76" s="75"/>
      <c r="F76" s="72"/>
      <c r="G76" s="76"/>
      <c r="H76" s="159"/>
      <c r="I76" s="92"/>
      <c r="J76" s="217"/>
    </row>
    <row r="77" spans="1:10" s="34" customFormat="1" ht="15.75" customHeight="1">
      <c r="A77" s="176" t="s">
        <v>248</v>
      </c>
      <c r="B77" s="69"/>
      <c r="C77" s="69"/>
      <c r="D77" s="69"/>
      <c r="E77" s="69"/>
      <c r="F77" s="86"/>
      <c r="G77" s="70">
        <f>G78</f>
        <v>54719922</v>
      </c>
      <c r="H77" s="70">
        <f>H78</f>
        <v>74270635</v>
      </c>
      <c r="I77" s="70">
        <f>I78</f>
        <v>74270635</v>
      </c>
      <c r="J77" s="192">
        <f t="shared" si="2"/>
        <v>1</v>
      </c>
    </row>
    <row r="78" spans="1:10" s="34" customFormat="1" ht="15.75" customHeight="1">
      <c r="A78" s="216" t="s">
        <v>31</v>
      </c>
      <c r="B78" s="72"/>
      <c r="C78" s="72" t="s">
        <v>32</v>
      </c>
      <c r="D78" s="72"/>
      <c r="E78" s="72"/>
      <c r="F78" s="75"/>
      <c r="G78" s="73">
        <f>G79+G84+G86</f>
        <v>54719922</v>
      </c>
      <c r="H78" s="73">
        <f>H79+H84+H86+H83+H85</f>
        <v>74270635</v>
      </c>
      <c r="I78" s="73">
        <f>I79+I84+I86+I83+I85</f>
        <v>74270635</v>
      </c>
      <c r="J78" s="217">
        <f t="shared" si="2"/>
        <v>1</v>
      </c>
    </row>
    <row r="79" spans="1:10" s="34" customFormat="1" ht="15.75" customHeight="1">
      <c r="A79" s="218"/>
      <c r="B79" s="75"/>
      <c r="C79" s="75" t="s">
        <v>227</v>
      </c>
      <c r="D79" s="75" t="s">
        <v>423</v>
      </c>
      <c r="E79" s="75"/>
      <c r="F79" s="75">
        <f>F80+F81+F82</f>
        <v>53719922</v>
      </c>
      <c r="G79" s="73">
        <v>53719922</v>
      </c>
      <c r="H79" s="73">
        <f>F79</f>
        <v>53719922</v>
      </c>
      <c r="I79" s="73">
        <v>53719922</v>
      </c>
      <c r="J79" s="217">
        <f t="shared" si="2"/>
        <v>1</v>
      </c>
    </row>
    <row r="80" spans="1:10" s="34" customFormat="1" ht="15.75" customHeight="1">
      <c r="A80" s="218"/>
      <c r="B80" s="75"/>
      <c r="C80" s="75"/>
      <c r="D80" s="75" t="s">
        <v>249</v>
      </c>
      <c r="E80" s="75"/>
      <c r="F80" s="75">
        <v>45345660</v>
      </c>
      <c r="G80" s="73"/>
      <c r="H80" s="159"/>
      <c r="I80" s="92"/>
      <c r="J80" s="217"/>
    </row>
    <row r="81" spans="1:10" s="34" customFormat="1" ht="15.75" customHeight="1">
      <c r="A81" s="218"/>
      <c r="B81" s="75"/>
      <c r="C81" s="75"/>
      <c r="D81" s="75" t="s">
        <v>250</v>
      </c>
      <c r="E81" s="75"/>
      <c r="F81" s="75">
        <v>1076761</v>
      </c>
      <c r="G81" s="73"/>
      <c r="H81" s="159"/>
      <c r="I81" s="92"/>
      <c r="J81" s="217"/>
    </row>
    <row r="82" spans="1:10" s="34" customFormat="1" ht="15.75" customHeight="1">
      <c r="A82" s="218"/>
      <c r="B82" s="75"/>
      <c r="C82" s="75"/>
      <c r="D82" s="75" t="s">
        <v>251</v>
      </c>
      <c r="E82" s="75"/>
      <c r="F82" s="75">
        <v>7297501</v>
      </c>
      <c r="G82" s="73"/>
      <c r="H82" s="159"/>
      <c r="I82" s="92"/>
      <c r="J82" s="217"/>
    </row>
    <row r="83" spans="1:10" s="34" customFormat="1" ht="31.5" customHeight="1">
      <c r="A83" s="218"/>
      <c r="B83" s="75"/>
      <c r="C83" s="75"/>
      <c r="D83" s="347" t="s">
        <v>436</v>
      </c>
      <c r="E83" s="348"/>
      <c r="F83" s="75"/>
      <c r="G83" s="73"/>
      <c r="H83" s="159">
        <v>1169455</v>
      </c>
      <c r="I83" s="92">
        <v>1169455</v>
      </c>
      <c r="J83" s="217">
        <f t="shared" si="2"/>
        <v>1</v>
      </c>
    </row>
    <row r="84" spans="1:10" s="34" customFormat="1" ht="15.75" customHeight="1">
      <c r="A84" s="218"/>
      <c r="B84" s="75"/>
      <c r="C84" s="75"/>
      <c r="D84" s="75" t="s">
        <v>252</v>
      </c>
      <c r="E84" s="75"/>
      <c r="F84" s="75"/>
      <c r="G84" s="76">
        <v>1000000</v>
      </c>
      <c r="H84" s="76">
        <v>250000</v>
      </c>
      <c r="I84" s="92">
        <v>250000</v>
      </c>
      <c r="J84" s="217">
        <f t="shared" si="2"/>
        <v>1</v>
      </c>
    </row>
    <row r="85" spans="1:10" s="34" customFormat="1" ht="15.75" customHeight="1">
      <c r="A85" s="218"/>
      <c r="B85" s="75"/>
      <c r="C85" s="75"/>
      <c r="D85" s="354" t="s">
        <v>449</v>
      </c>
      <c r="E85" s="355"/>
      <c r="F85" s="75"/>
      <c r="G85" s="76"/>
      <c r="H85" s="76">
        <v>19131258</v>
      </c>
      <c r="I85" s="92">
        <v>19131258</v>
      </c>
      <c r="J85" s="217">
        <f t="shared" si="2"/>
        <v>1</v>
      </c>
    </row>
    <row r="86" spans="1:10" s="34" customFormat="1" ht="15.75" customHeight="1">
      <c r="A86" s="216"/>
      <c r="B86" s="75"/>
      <c r="C86" s="72"/>
      <c r="D86" s="72"/>
      <c r="E86" s="75"/>
      <c r="F86" s="72"/>
      <c r="G86" s="76"/>
      <c r="H86" s="159"/>
      <c r="I86" s="92"/>
      <c r="J86" s="217"/>
    </row>
    <row r="87" spans="1:10" s="34" customFormat="1" ht="15.75" customHeight="1">
      <c r="A87" s="176" t="s">
        <v>253</v>
      </c>
      <c r="B87" s="86"/>
      <c r="C87" s="86"/>
      <c r="D87" s="86"/>
      <c r="E87" s="86"/>
      <c r="F87" s="87">
        <v>0.5</v>
      </c>
      <c r="G87" s="70">
        <f>G88+G93+G96</f>
        <v>2468100</v>
      </c>
      <c r="H87" s="70">
        <f>H88+H93+H96</f>
        <v>3103100</v>
      </c>
      <c r="I87" s="70">
        <f>I88+I93+I96</f>
        <v>2881287</v>
      </c>
      <c r="J87" s="192">
        <f t="shared" si="2"/>
        <v>0.9285189004543843</v>
      </c>
    </row>
    <row r="88" spans="1:10" s="34" customFormat="1" ht="15.75" customHeight="1">
      <c r="A88" s="216" t="s">
        <v>23</v>
      </c>
      <c r="B88" s="72"/>
      <c r="C88" s="72" t="s">
        <v>169</v>
      </c>
      <c r="D88" s="72"/>
      <c r="E88" s="72"/>
      <c r="F88" s="67"/>
      <c r="G88" s="73">
        <f>G89</f>
        <v>1151300</v>
      </c>
      <c r="H88" s="73">
        <f>H89</f>
        <v>1151300</v>
      </c>
      <c r="I88" s="73">
        <f>I89</f>
        <v>1210008</v>
      </c>
      <c r="J88" s="217">
        <f t="shared" si="2"/>
        <v>1.0509927907582732</v>
      </c>
    </row>
    <row r="89" spans="1:10" s="34" customFormat="1" ht="15.75" customHeight="1">
      <c r="A89" s="218"/>
      <c r="B89" s="72" t="s">
        <v>170</v>
      </c>
      <c r="C89" s="75"/>
      <c r="D89" s="75" t="s">
        <v>171</v>
      </c>
      <c r="E89" s="75"/>
      <c r="F89" s="75"/>
      <c r="G89" s="76">
        <f>SUM(G90:G92)</f>
        <v>1151300</v>
      </c>
      <c r="H89" s="76">
        <f>SUM(H90:H92)</f>
        <v>1151300</v>
      </c>
      <c r="I89" s="76">
        <f>SUM(I90:I92)</f>
        <v>1210008</v>
      </c>
      <c r="J89" s="217">
        <f t="shared" si="2"/>
        <v>1.0509927907582732</v>
      </c>
    </row>
    <row r="90" spans="1:10" s="34" customFormat="1" ht="15.75" customHeight="1">
      <c r="A90" s="219"/>
      <c r="B90" s="75"/>
      <c r="C90" s="75" t="s">
        <v>172</v>
      </c>
      <c r="D90" s="75" t="s">
        <v>173</v>
      </c>
      <c r="E90" s="75"/>
      <c r="F90" s="75"/>
      <c r="G90" s="76">
        <v>1036800</v>
      </c>
      <c r="H90" s="76">
        <v>1036800</v>
      </c>
      <c r="I90" s="76">
        <v>1030400</v>
      </c>
      <c r="J90" s="217">
        <f t="shared" si="2"/>
        <v>0.9938271604938271</v>
      </c>
    </row>
    <row r="91" spans="1:10" s="34" customFormat="1" ht="15.75" customHeight="1">
      <c r="A91" s="219"/>
      <c r="B91" s="75"/>
      <c r="C91" s="75" t="s">
        <v>359</v>
      </c>
      <c r="D91" s="75" t="s">
        <v>391</v>
      </c>
      <c r="E91" s="75"/>
      <c r="F91" s="75"/>
      <c r="G91" s="76">
        <v>40000</v>
      </c>
      <c r="H91" s="76">
        <v>40000</v>
      </c>
      <c r="I91" s="76">
        <f>190258-85000</f>
        <v>105258</v>
      </c>
      <c r="J91" s="217">
        <f t="shared" si="2"/>
        <v>2.63145</v>
      </c>
    </row>
    <row r="92" spans="1:10" s="41" customFormat="1" ht="15.75" customHeight="1">
      <c r="A92" s="218"/>
      <c r="B92" s="75"/>
      <c r="C92" s="75" t="s">
        <v>174</v>
      </c>
      <c r="D92" s="75" t="s">
        <v>175</v>
      </c>
      <c r="E92" s="75"/>
      <c r="F92" s="75"/>
      <c r="G92" s="76">
        <v>74500</v>
      </c>
      <c r="H92" s="76">
        <v>74500</v>
      </c>
      <c r="I92" s="76">
        <v>74350</v>
      </c>
      <c r="J92" s="217">
        <f t="shared" si="2"/>
        <v>0.9979865771812081</v>
      </c>
    </row>
    <row r="93" spans="1:10" s="34" customFormat="1" ht="15.75" customHeight="1">
      <c r="A93" s="216" t="s">
        <v>25</v>
      </c>
      <c r="B93" s="72"/>
      <c r="C93" s="72" t="s">
        <v>186</v>
      </c>
      <c r="D93" s="79"/>
      <c r="E93" s="79"/>
      <c r="F93" s="80"/>
      <c r="G93" s="73">
        <f>SUM(G94:G95)</f>
        <v>236800</v>
      </c>
      <c r="H93" s="73">
        <f>SUM(H94:H95)</f>
        <v>236800</v>
      </c>
      <c r="I93" s="73">
        <f>SUM(I94:I95)</f>
        <v>251235</v>
      </c>
      <c r="J93" s="217">
        <f t="shared" si="2"/>
        <v>1.0609586148648649</v>
      </c>
    </row>
    <row r="94" spans="1:10" s="34" customFormat="1" ht="15.75" customHeight="1">
      <c r="A94" s="218"/>
      <c r="B94" s="75"/>
      <c r="C94" s="75"/>
      <c r="D94" s="77" t="s">
        <v>187</v>
      </c>
      <c r="E94" s="75"/>
      <c r="F94" s="75"/>
      <c r="G94" s="76">
        <f>216800+8000</f>
        <v>224800</v>
      </c>
      <c r="H94" s="76">
        <f>216800+8000</f>
        <v>224800</v>
      </c>
      <c r="I94" s="76">
        <v>240082</v>
      </c>
      <c r="J94" s="217">
        <f t="shared" si="2"/>
        <v>1.0679804270462634</v>
      </c>
    </row>
    <row r="95" spans="1:10" s="34" customFormat="1" ht="15.75" customHeight="1">
      <c r="A95" s="218"/>
      <c r="B95" s="75"/>
      <c r="C95" s="75"/>
      <c r="D95" s="77" t="s">
        <v>188</v>
      </c>
      <c r="E95" s="75"/>
      <c r="F95" s="75"/>
      <c r="G95" s="76">
        <v>12000</v>
      </c>
      <c r="H95" s="76">
        <v>12000</v>
      </c>
      <c r="I95" s="76">
        <v>11153</v>
      </c>
      <c r="J95" s="217">
        <f t="shared" si="2"/>
        <v>0.9294166666666667</v>
      </c>
    </row>
    <row r="96" spans="1:10" s="34" customFormat="1" ht="15.75" customHeight="1">
      <c r="A96" s="216" t="s">
        <v>27</v>
      </c>
      <c r="B96" s="72"/>
      <c r="C96" s="72" t="s">
        <v>28</v>
      </c>
      <c r="D96" s="72"/>
      <c r="E96" s="72"/>
      <c r="F96" s="75"/>
      <c r="G96" s="73">
        <f>G97+G99+G105</f>
        <v>1080000</v>
      </c>
      <c r="H96" s="73">
        <f>H97+H99+H105</f>
        <v>1715000</v>
      </c>
      <c r="I96" s="73">
        <f>I97+I99+I105</f>
        <v>1420044</v>
      </c>
      <c r="J96" s="217">
        <f t="shared" si="2"/>
        <v>0.8280139941690962</v>
      </c>
    </row>
    <row r="97" spans="1:10" s="34" customFormat="1" ht="15.75" customHeight="1">
      <c r="A97" s="220"/>
      <c r="B97" s="72" t="s">
        <v>189</v>
      </c>
      <c r="C97" s="82"/>
      <c r="D97" s="72" t="s">
        <v>190</v>
      </c>
      <c r="E97" s="83"/>
      <c r="F97" s="81"/>
      <c r="G97" s="73">
        <f>+G98</f>
        <v>200000</v>
      </c>
      <c r="H97" s="73">
        <f>+H98</f>
        <v>200000</v>
      </c>
      <c r="I97" s="73">
        <f>+I98</f>
        <v>217936</v>
      </c>
      <c r="J97" s="217">
        <f t="shared" si="2"/>
        <v>1.08968</v>
      </c>
    </row>
    <row r="98" spans="1:10" s="34" customFormat="1" ht="15.75" customHeight="1">
      <c r="A98" s="218"/>
      <c r="B98" s="75"/>
      <c r="C98" s="75" t="s">
        <v>194</v>
      </c>
      <c r="D98" s="75" t="s">
        <v>195</v>
      </c>
      <c r="E98" s="75"/>
      <c r="F98" s="75"/>
      <c r="G98" s="76">
        <v>200000</v>
      </c>
      <c r="H98" s="76">
        <v>200000</v>
      </c>
      <c r="I98" s="76">
        <v>217936</v>
      </c>
      <c r="J98" s="217">
        <f t="shared" si="2"/>
        <v>1.08968</v>
      </c>
    </row>
    <row r="99" spans="1:10" s="34" customFormat="1" ht="15.75" customHeight="1">
      <c r="A99" s="220"/>
      <c r="B99" s="72" t="s">
        <v>203</v>
      </c>
      <c r="C99" s="82"/>
      <c r="D99" s="72" t="s">
        <v>204</v>
      </c>
      <c r="E99" s="82"/>
      <c r="F99" s="77"/>
      <c r="G99" s="73">
        <f>G100+G103+G104</f>
        <v>680000</v>
      </c>
      <c r="H99" s="73">
        <f>H100+H103+H104</f>
        <v>1180000</v>
      </c>
      <c r="I99" s="73">
        <f>I100+I103+I104</f>
        <v>901234</v>
      </c>
      <c r="J99" s="217">
        <f t="shared" si="2"/>
        <v>0.763757627118644</v>
      </c>
    </row>
    <row r="100" spans="1:10" s="34" customFormat="1" ht="15.75" customHeight="1">
      <c r="A100" s="218"/>
      <c r="B100" s="75"/>
      <c r="C100" s="75" t="s">
        <v>205</v>
      </c>
      <c r="D100" s="75" t="s">
        <v>206</v>
      </c>
      <c r="E100" s="75"/>
      <c r="F100" s="75"/>
      <c r="G100" s="76">
        <f>SUM(G101:G102)</f>
        <v>130000</v>
      </c>
      <c r="H100" s="76">
        <f>SUM(H101:H102)</f>
        <v>130000</v>
      </c>
      <c r="I100" s="76">
        <f>SUM(I101:I102)</f>
        <v>110346</v>
      </c>
      <c r="J100" s="217">
        <f t="shared" si="2"/>
        <v>0.8488153846153846</v>
      </c>
    </row>
    <row r="101" spans="1:10" s="34" customFormat="1" ht="15.75" customHeight="1">
      <c r="A101" s="218"/>
      <c r="B101" s="75"/>
      <c r="C101" s="75"/>
      <c r="D101" s="75"/>
      <c r="E101" s="77" t="s">
        <v>207</v>
      </c>
      <c r="F101" s="75"/>
      <c r="G101" s="76">
        <v>50000</v>
      </c>
      <c r="H101" s="76">
        <v>50000</v>
      </c>
      <c r="I101" s="76">
        <v>40000</v>
      </c>
      <c r="J101" s="217">
        <f t="shared" si="2"/>
        <v>0.8</v>
      </c>
    </row>
    <row r="102" spans="1:10" s="34" customFormat="1" ht="15.75" customHeight="1">
      <c r="A102" s="218"/>
      <c r="B102" s="75"/>
      <c r="C102" s="75"/>
      <c r="D102" s="75"/>
      <c r="E102" s="77" t="s">
        <v>209</v>
      </c>
      <c r="F102" s="75"/>
      <c r="G102" s="76">
        <v>80000</v>
      </c>
      <c r="H102" s="76">
        <v>80000</v>
      </c>
      <c r="I102" s="76">
        <v>70346</v>
      </c>
      <c r="J102" s="217">
        <f t="shared" si="2"/>
        <v>0.879325</v>
      </c>
    </row>
    <row r="103" spans="1:10" s="34" customFormat="1" ht="15.75" customHeight="1">
      <c r="A103" s="218"/>
      <c r="B103" s="75"/>
      <c r="C103" s="75" t="s">
        <v>212</v>
      </c>
      <c r="D103" s="75" t="s">
        <v>213</v>
      </c>
      <c r="E103" s="75"/>
      <c r="F103" s="75"/>
      <c r="G103" s="76">
        <v>50000</v>
      </c>
      <c r="H103" s="76">
        <v>50000</v>
      </c>
      <c r="I103" s="76">
        <v>40500</v>
      </c>
      <c r="J103" s="217">
        <f t="shared" si="2"/>
        <v>0.81</v>
      </c>
    </row>
    <row r="104" spans="1:10" s="34" customFormat="1" ht="15.75" customHeight="1">
      <c r="A104" s="218"/>
      <c r="B104" s="75"/>
      <c r="C104" s="75" t="s">
        <v>214</v>
      </c>
      <c r="D104" s="75" t="s">
        <v>215</v>
      </c>
      <c r="E104" s="75"/>
      <c r="F104" s="75"/>
      <c r="G104" s="76">
        <v>500000</v>
      </c>
      <c r="H104" s="159">
        <v>1000000</v>
      </c>
      <c r="I104" s="159">
        <v>750388</v>
      </c>
      <c r="J104" s="217">
        <f t="shared" si="2"/>
        <v>0.750388</v>
      </c>
    </row>
    <row r="105" spans="1:10" s="34" customFormat="1" ht="15.75" customHeight="1">
      <c r="A105" s="220"/>
      <c r="B105" s="72" t="s">
        <v>221</v>
      </c>
      <c r="C105" s="82"/>
      <c r="D105" s="72" t="s">
        <v>222</v>
      </c>
      <c r="E105" s="82"/>
      <c r="F105" s="77"/>
      <c r="G105" s="73">
        <f>G106</f>
        <v>200000</v>
      </c>
      <c r="H105" s="73">
        <f>H106</f>
        <v>335000</v>
      </c>
      <c r="I105" s="73">
        <f>I106</f>
        <v>300874</v>
      </c>
      <c r="J105" s="217">
        <f t="shared" si="2"/>
        <v>0.8981313432835821</v>
      </c>
    </row>
    <row r="106" spans="1:10" s="34" customFormat="1" ht="15.75" customHeight="1">
      <c r="A106" s="218"/>
      <c r="B106" s="75"/>
      <c r="C106" s="75" t="s">
        <v>223</v>
      </c>
      <c r="D106" s="75" t="s">
        <v>224</v>
      </c>
      <c r="E106" s="75"/>
      <c r="F106" s="75"/>
      <c r="G106" s="84">
        <v>200000</v>
      </c>
      <c r="H106" s="159">
        <v>335000</v>
      </c>
      <c r="I106" s="159">
        <v>300874</v>
      </c>
      <c r="J106" s="217">
        <f t="shared" si="2"/>
        <v>0.8981313432835821</v>
      </c>
    </row>
    <row r="107" spans="1:10" s="34" customFormat="1" ht="15.75" customHeight="1">
      <c r="A107" s="218"/>
      <c r="B107" s="75"/>
      <c r="C107" s="75"/>
      <c r="D107" s="75"/>
      <c r="E107" s="75"/>
      <c r="F107" s="81"/>
      <c r="G107" s="78"/>
      <c r="H107" s="159"/>
      <c r="I107" s="92"/>
      <c r="J107" s="217"/>
    </row>
    <row r="108" spans="1:10" s="34" customFormat="1" ht="15.75" customHeight="1">
      <c r="A108" s="176" t="s">
        <v>85</v>
      </c>
      <c r="B108" s="88"/>
      <c r="C108" s="88"/>
      <c r="D108" s="88"/>
      <c r="E108" s="89"/>
      <c r="F108" s="90"/>
      <c r="G108" s="70">
        <f>G109+G116+G120</f>
        <v>71355000</v>
      </c>
      <c r="H108" s="70">
        <f>H109+H116+H120</f>
        <v>71871940</v>
      </c>
      <c r="I108" s="70">
        <f>I109+I116+I120</f>
        <v>30839698</v>
      </c>
      <c r="J108" s="192">
        <f t="shared" si="2"/>
        <v>0.42909232726986357</v>
      </c>
    </row>
    <row r="109" spans="1:10" s="34" customFormat="1" ht="15.75" customHeight="1">
      <c r="A109" s="216" t="s">
        <v>27</v>
      </c>
      <c r="B109" s="72"/>
      <c r="C109" s="72" t="s">
        <v>28</v>
      </c>
      <c r="D109" s="72"/>
      <c r="E109" s="72"/>
      <c r="F109" s="81"/>
      <c r="G109" s="73">
        <f>G110+G113</f>
        <v>54855000</v>
      </c>
      <c r="H109" s="73">
        <f>H110+H113</f>
        <v>68767940</v>
      </c>
      <c r="I109" s="73">
        <f>I110+I113</f>
        <v>30735698</v>
      </c>
      <c r="J109" s="217">
        <f t="shared" si="2"/>
        <v>0.4469480691147648</v>
      </c>
    </row>
    <row r="110" spans="1:10" s="34" customFormat="1" ht="15.75" customHeight="1">
      <c r="A110" s="220"/>
      <c r="B110" s="72" t="s">
        <v>203</v>
      </c>
      <c r="C110" s="82"/>
      <c r="D110" s="72" t="s">
        <v>204</v>
      </c>
      <c r="E110" s="82"/>
      <c r="F110" s="81"/>
      <c r="G110" s="73">
        <f>SUM(G111:G112)</f>
        <v>31000000</v>
      </c>
      <c r="H110" s="73">
        <f>SUM(H111:H112)</f>
        <v>31100000</v>
      </c>
      <c r="I110" s="73">
        <f>SUM(I111:I112)</f>
        <v>1027776</v>
      </c>
      <c r="J110" s="217">
        <f t="shared" si="2"/>
        <v>0.03304745980707396</v>
      </c>
    </row>
    <row r="111" spans="1:10" s="34" customFormat="1" ht="15.75" customHeight="1">
      <c r="A111" s="220"/>
      <c r="B111" s="75"/>
      <c r="C111" s="75" t="s">
        <v>210</v>
      </c>
      <c r="D111" s="75" t="s">
        <v>255</v>
      </c>
      <c r="E111" s="77"/>
      <c r="F111" s="81"/>
      <c r="G111" s="76">
        <v>30000000</v>
      </c>
      <c r="H111" s="76">
        <v>30000000</v>
      </c>
      <c r="I111" s="76">
        <v>0</v>
      </c>
      <c r="J111" s="217">
        <f t="shared" si="2"/>
        <v>0</v>
      </c>
    </row>
    <row r="112" spans="1:10" s="34" customFormat="1" ht="15.75" customHeight="1">
      <c r="A112" s="218"/>
      <c r="B112" s="75"/>
      <c r="C112" s="75" t="s">
        <v>256</v>
      </c>
      <c r="D112" s="75" t="s">
        <v>257</v>
      </c>
      <c r="E112" s="75"/>
      <c r="F112" s="81"/>
      <c r="G112" s="76">
        <v>1000000</v>
      </c>
      <c r="H112" s="76">
        <v>1100000</v>
      </c>
      <c r="I112" s="76">
        <v>1027776</v>
      </c>
      <c r="J112" s="217">
        <f t="shared" si="2"/>
        <v>0.9343418181818182</v>
      </c>
    </row>
    <row r="113" spans="1:10" s="34" customFormat="1" ht="15.75" customHeight="1">
      <c r="A113" s="220"/>
      <c r="B113" s="72" t="s">
        <v>221</v>
      </c>
      <c r="C113" s="82"/>
      <c r="D113" s="72" t="s">
        <v>222</v>
      </c>
      <c r="E113" s="82"/>
      <c r="F113" s="81"/>
      <c r="G113" s="73">
        <f>SUM(G114:G115)</f>
        <v>23855000</v>
      </c>
      <c r="H113" s="73">
        <f>SUM(H114:H115)</f>
        <v>37667940</v>
      </c>
      <c r="I113" s="73">
        <f>SUM(I114:I115)</f>
        <v>29707922</v>
      </c>
      <c r="J113" s="217">
        <f t="shared" si="2"/>
        <v>0.788679232259582</v>
      </c>
    </row>
    <row r="114" spans="1:10" s="34" customFormat="1" ht="15.75" customHeight="1">
      <c r="A114" s="218"/>
      <c r="B114" s="75"/>
      <c r="C114" s="75" t="s">
        <v>223</v>
      </c>
      <c r="D114" s="75" t="s">
        <v>224</v>
      </c>
      <c r="E114" s="75"/>
      <c r="F114" s="81"/>
      <c r="G114" s="76">
        <v>8370000</v>
      </c>
      <c r="H114" s="76">
        <v>8370000</v>
      </c>
      <c r="I114" s="76">
        <v>273982</v>
      </c>
      <c r="J114" s="217">
        <f t="shared" si="2"/>
        <v>0.03273381123058543</v>
      </c>
    </row>
    <row r="115" spans="1:10" s="34" customFormat="1" ht="15.75" customHeight="1">
      <c r="A115" s="218"/>
      <c r="B115" s="75"/>
      <c r="C115" s="75" t="s">
        <v>258</v>
      </c>
      <c r="D115" s="75" t="s">
        <v>259</v>
      </c>
      <c r="E115" s="75"/>
      <c r="F115" s="81"/>
      <c r="G115" s="76">
        <v>15485000</v>
      </c>
      <c r="H115" s="76">
        <v>29297940</v>
      </c>
      <c r="I115" s="76">
        <v>29433940</v>
      </c>
      <c r="J115" s="217">
        <f t="shared" si="2"/>
        <v>1.0046419645886366</v>
      </c>
    </row>
    <row r="116" spans="1:10" s="34" customFormat="1" ht="15.75" customHeight="1">
      <c r="A116" s="221" t="s">
        <v>34</v>
      </c>
      <c r="B116" s="75"/>
      <c r="C116" s="72" t="s">
        <v>35</v>
      </c>
      <c r="D116" s="75"/>
      <c r="E116" s="75"/>
      <c r="F116" s="75"/>
      <c r="G116" s="73">
        <f>SUM(G118:G119)</f>
        <v>3000000</v>
      </c>
      <c r="H116" s="73">
        <f>SUM(H117:H119)</f>
        <v>3104000</v>
      </c>
      <c r="I116" s="73">
        <f>SUM(I117:I119)</f>
        <v>104000</v>
      </c>
      <c r="J116" s="217">
        <f t="shared" si="2"/>
        <v>0.03350515463917526</v>
      </c>
    </row>
    <row r="117" spans="1:10" s="34" customFormat="1" ht="15.75" customHeight="1">
      <c r="A117" s="221"/>
      <c r="B117" s="72" t="s">
        <v>382</v>
      </c>
      <c r="C117" s="72"/>
      <c r="D117" s="354" t="s">
        <v>448</v>
      </c>
      <c r="E117" s="355"/>
      <c r="F117" s="75"/>
      <c r="G117" s="76">
        <v>0</v>
      </c>
      <c r="H117" s="76">
        <v>104000</v>
      </c>
      <c r="I117" s="76">
        <v>104000</v>
      </c>
      <c r="J117" s="217">
        <f t="shared" si="2"/>
        <v>1</v>
      </c>
    </row>
    <row r="118" spans="1:10" s="34" customFormat="1" ht="15.75" customHeight="1">
      <c r="A118" s="218"/>
      <c r="B118" s="72" t="s">
        <v>386</v>
      </c>
      <c r="C118" s="75"/>
      <c r="D118" s="75" t="s">
        <v>384</v>
      </c>
      <c r="E118" s="75"/>
      <c r="F118" s="75"/>
      <c r="G118" s="76">
        <v>2362200</v>
      </c>
      <c r="H118" s="76">
        <v>2362200</v>
      </c>
      <c r="I118" s="76">
        <v>0</v>
      </c>
      <c r="J118" s="217">
        <f t="shared" si="2"/>
        <v>0</v>
      </c>
    </row>
    <row r="119" spans="1:10" s="34" customFormat="1" ht="15.75" customHeight="1">
      <c r="A119" s="218"/>
      <c r="B119" s="72" t="s">
        <v>261</v>
      </c>
      <c r="C119" s="75"/>
      <c r="D119" s="75" t="s">
        <v>262</v>
      </c>
      <c r="E119" s="75"/>
      <c r="F119" s="75"/>
      <c r="G119" s="76">
        <v>637800</v>
      </c>
      <c r="H119" s="76">
        <v>637800</v>
      </c>
      <c r="I119" s="76">
        <v>0</v>
      </c>
      <c r="J119" s="217">
        <f t="shared" si="2"/>
        <v>0</v>
      </c>
    </row>
    <row r="120" spans="1:10" s="34" customFormat="1" ht="15.75" customHeight="1">
      <c r="A120" s="216" t="s">
        <v>36</v>
      </c>
      <c r="B120" s="72"/>
      <c r="C120" s="72" t="s">
        <v>37</v>
      </c>
      <c r="D120" s="75"/>
      <c r="E120" s="75"/>
      <c r="F120" s="75"/>
      <c r="G120" s="73">
        <f>SUM(G121:G122)</f>
        <v>13500000</v>
      </c>
      <c r="H120" s="73">
        <f>SUM(H121:H122)</f>
        <v>0</v>
      </c>
      <c r="I120" s="92"/>
      <c r="J120" s="217"/>
    </row>
    <row r="121" spans="1:10" s="34" customFormat="1" ht="15.75" customHeight="1">
      <c r="A121" s="218"/>
      <c r="B121" s="72" t="s">
        <v>272</v>
      </c>
      <c r="C121" s="75"/>
      <c r="D121" s="75" t="s">
        <v>273</v>
      </c>
      <c r="E121" s="75"/>
      <c r="F121" s="75"/>
      <c r="G121" s="76">
        <v>10629900</v>
      </c>
      <c r="H121" s="76">
        <v>0</v>
      </c>
      <c r="I121" s="92"/>
      <c r="J121" s="217"/>
    </row>
    <row r="122" spans="1:10" s="34" customFormat="1" ht="15.75" customHeight="1">
      <c r="A122" s="218"/>
      <c r="B122" s="97" t="s">
        <v>274</v>
      </c>
      <c r="C122" s="65"/>
      <c r="D122" s="65" t="s">
        <v>275</v>
      </c>
      <c r="E122" s="65"/>
      <c r="F122" s="75"/>
      <c r="G122" s="84">
        <v>2870100</v>
      </c>
      <c r="H122" s="84">
        <v>0</v>
      </c>
      <c r="I122" s="92"/>
      <c r="J122" s="217"/>
    </row>
    <row r="123" spans="1:10" s="34" customFormat="1" ht="15.75" customHeight="1">
      <c r="A123" s="218"/>
      <c r="B123" s="65"/>
      <c r="C123" s="65"/>
      <c r="D123" s="65"/>
      <c r="E123" s="65"/>
      <c r="F123" s="75"/>
      <c r="G123" s="84"/>
      <c r="H123" s="159"/>
      <c r="I123" s="92"/>
      <c r="J123" s="217"/>
    </row>
    <row r="124" spans="1:10" s="34" customFormat="1" ht="15.75" customHeight="1">
      <c r="A124" s="176" t="s">
        <v>263</v>
      </c>
      <c r="B124" s="88"/>
      <c r="C124" s="88"/>
      <c r="D124" s="88"/>
      <c r="E124" s="88"/>
      <c r="F124" s="88"/>
      <c r="G124" s="91">
        <f aca="true" t="shared" si="3" ref="G124:I125">SUM(G125)</f>
        <v>300000</v>
      </c>
      <c r="H124" s="91">
        <f t="shared" si="3"/>
        <v>500000</v>
      </c>
      <c r="I124" s="91">
        <f t="shared" si="3"/>
        <v>500000</v>
      </c>
      <c r="J124" s="192">
        <f t="shared" si="2"/>
        <v>1</v>
      </c>
    </row>
    <row r="125" spans="1:10" s="34" customFormat="1" ht="15.75" customHeight="1">
      <c r="A125" s="216" t="s">
        <v>31</v>
      </c>
      <c r="B125" s="72"/>
      <c r="C125" s="72" t="s">
        <v>32</v>
      </c>
      <c r="D125" s="72"/>
      <c r="E125" s="72"/>
      <c r="F125" s="75"/>
      <c r="G125" s="92">
        <f t="shared" si="3"/>
        <v>300000</v>
      </c>
      <c r="H125" s="92">
        <f t="shared" si="3"/>
        <v>500000</v>
      </c>
      <c r="I125" s="92">
        <f t="shared" si="3"/>
        <v>500000</v>
      </c>
      <c r="J125" s="217">
        <f t="shared" si="2"/>
        <v>1</v>
      </c>
    </row>
    <row r="126" spans="1:10" s="34" customFormat="1" ht="15.75" customHeight="1">
      <c r="A126" s="218"/>
      <c r="B126" s="75"/>
      <c r="C126" s="75" t="s">
        <v>232</v>
      </c>
      <c r="D126" s="75" t="s">
        <v>233</v>
      </c>
      <c r="E126" s="75"/>
      <c r="F126" s="75"/>
      <c r="G126" s="93">
        <f>G127</f>
        <v>300000</v>
      </c>
      <c r="H126" s="93">
        <f>H127</f>
        <v>500000</v>
      </c>
      <c r="I126" s="93">
        <f>I127</f>
        <v>500000</v>
      </c>
      <c r="J126" s="217">
        <f t="shared" si="2"/>
        <v>1</v>
      </c>
    </row>
    <row r="127" spans="1:10" s="34" customFormat="1" ht="15.75" customHeight="1">
      <c r="A127" s="218"/>
      <c r="B127" s="75"/>
      <c r="C127" s="75"/>
      <c r="D127" s="75"/>
      <c r="E127" s="75" t="s">
        <v>264</v>
      </c>
      <c r="F127" s="75"/>
      <c r="G127" s="84">
        <v>300000</v>
      </c>
      <c r="H127" s="159">
        <v>500000</v>
      </c>
      <c r="I127" s="159">
        <v>500000</v>
      </c>
      <c r="J127" s="217">
        <f t="shared" si="2"/>
        <v>1</v>
      </c>
    </row>
    <row r="128" spans="1:10" s="34" customFormat="1" ht="15.75" customHeight="1">
      <c r="A128" s="218"/>
      <c r="B128" s="75"/>
      <c r="C128" s="75"/>
      <c r="D128" s="75"/>
      <c r="E128" s="75"/>
      <c r="F128" s="75"/>
      <c r="G128" s="84"/>
      <c r="H128" s="159"/>
      <c r="I128" s="92"/>
      <c r="J128" s="217"/>
    </row>
    <row r="129" spans="1:10" s="34" customFormat="1" ht="15.75" customHeight="1">
      <c r="A129" s="176" t="s">
        <v>265</v>
      </c>
      <c r="B129" s="88"/>
      <c r="C129" s="88"/>
      <c r="D129" s="88"/>
      <c r="E129" s="88"/>
      <c r="F129" s="88"/>
      <c r="G129" s="91">
        <f>SUM(G131)</f>
        <v>200000</v>
      </c>
      <c r="H129" s="91">
        <f>SUM(H131)</f>
        <v>200000</v>
      </c>
      <c r="I129" s="91">
        <f>SUM(I131)</f>
        <v>100000</v>
      </c>
      <c r="J129" s="192">
        <f t="shared" si="2"/>
        <v>0.5</v>
      </c>
    </row>
    <row r="130" spans="1:10" s="125" customFormat="1" ht="15.75" customHeight="1">
      <c r="A130" s="216" t="s">
        <v>31</v>
      </c>
      <c r="B130" s="72"/>
      <c r="C130" s="72" t="s">
        <v>32</v>
      </c>
      <c r="D130" s="72"/>
      <c r="E130" s="72"/>
      <c r="F130" s="75"/>
      <c r="G130" s="92">
        <f>SUM(G131)</f>
        <v>200000</v>
      </c>
      <c r="H130" s="92">
        <f>SUM(H131)</f>
        <v>200000</v>
      </c>
      <c r="I130" s="92">
        <f>SUM(I131)</f>
        <v>100000</v>
      </c>
      <c r="J130" s="217">
        <f t="shared" si="2"/>
        <v>0.5</v>
      </c>
    </row>
    <row r="131" spans="1:10" s="34" customFormat="1" ht="15.75" customHeight="1">
      <c r="A131" s="218"/>
      <c r="B131" s="75"/>
      <c r="C131" s="75" t="s">
        <v>232</v>
      </c>
      <c r="D131" s="75" t="s">
        <v>233</v>
      </c>
      <c r="E131" s="75"/>
      <c r="F131" s="75"/>
      <c r="G131" s="84">
        <v>200000</v>
      </c>
      <c r="H131" s="84">
        <v>200000</v>
      </c>
      <c r="I131" s="84">
        <v>100000</v>
      </c>
      <c r="J131" s="217">
        <f t="shared" si="2"/>
        <v>0.5</v>
      </c>
    </row>
    <row r="132" spans="1:10" s="34" customFormat="1" ht="15.75" customHeight="1">
      <c r="A132" s="218"/>
      <c r="B132" s="75"/>
      <c r="C132" s="75"/>
      <c r="D132" s="75"/>
      <c r="E132" s="75"/>
      <c r="F132" s="75"/>
      <c r="G132" s="84"/>
      <c r="H132" s="159"/>
      <c r="I132" s="92"/>
      <c r="J132" s="217"/>
    </row>
    <row r="133" spans="1:10" s="34" customFormat="1" ht="15.75" customHeight="1">
      <c r="A133" s="176" t="s">
        <v>117</v>
      </c>
      <c r="B133" s="88"/>
      <c r="C133" s="88"/>
      <c r="D133" s="68"/>
      <c r="E133" s="95"/>
      <c r="F133" s="98">
        <v>2</v>
      </c>
      <c r="G133" s="70">
        <f>G134+G140+G143</f>
        <v>5725000</v>
      </c>
      <c r="H133" s="70">
        <f>H134+H140+H143</f>
        <v>5725000</v>
      </c>
      <c r="I133" s="70">
        <f>I134+I140+I143</f>
        <v>2964522</v>
      </c>
      <c r="J133" s="192">
        <f t="shared" si="2"/>
        <v>0.5178204366812227</v>
      </c>
    </row>
    <row r="134" spans="1:10" s="34" customFormat="1" ht="15.75" customHeight="1">
      <c r="A134" s="216" t="s">
        <v>23</v>
      </c>
      <c r="B134" s="72"/>
      <c r="C134" s="72" t="s">
        <v>169</v>
      </c>
      <c r="D134" s="72"/>
      <c r="E134" s="72"/>
      <c r="F134" s="77"/>
      <c r="G134" s="73">
        <f>G135</f>
        <v>4573000</v>
      </c>
      <c r="H134" s="73">
        <f>H135</f>
        <v>4573000</v>
      </c>
      <c r="I134" s="73">
        <f>I135</f>
        <v>2622387</v>
      </c>
      <c r="J134" s="217">
        <f t="shared" si="2"/>
        <v>0.5734500328012245</v>
      </c>
    </row>
    <row r="135" spans="1:10" s="34" customFormat="1" ht="15.75" customHeight="1">
      <c r="A135" s="218"/>
      <c r="B135" s="72" t="s">
        <v>170</v>
      </c>
      <c r="C135" s="75"/>
      <c r="D135" s="75" t="s">
        <v>171</v>
      </c>
      <c r="E135" s="75"/>
      <c r="F135" s="77"/>
      <c r="G135" s="76">
        <f>G136+G139+G138</f>
        <v>4573000</v>
      </c>
      <c r="H135" s="76">
        <f>H136+H139+H138+H137</f>
        <v>4573000</v>
      </c>
      <c r="I135" s="76">
        <f>I136+I139+I138+I137</f>
        <v>2622387</v>
      </c>
      <c r="J135" s="217">
        <f t="shared" si="2"/>
        <v>0.5734500328012245</v>
      </c>
    </row>
    <row r="136" spans="1:10" s="34" customFormat="1" ht="15.75" customHeight="1">
      <c r="A136" s="219"/>
      <c r="B136" s="75"/>
      <c r="C136" s="75" t="s">
        <v>172</v>
      </c>
      <c r="D136" s="75" t="s">
        <v>173</v>
      </c>
      <c r="E136" s="75"/>
      <c r="F136" s="81"/>
      <c r="G136" s="76">
        <v>4023000</v>
      </c>
      <c r="H136" s="76">
        <v>3873805</v>
      </c>
      <c r="I136" s="76">
        <v>2442739</v>
      </c>
      <c r="J136" s="217">
        <f t="shared" si="2"/>
        <v>0.6305787204053895</v>
      </c>
    </row>
    <row r="137" spans="1:10" s="34" customFormat="1" ht="15.75" customHeight="1">
      <c r="A137" s="219"/>
      <c r="B137" s="75"/>
      <c r="C137" s="75" t="s">
        <v>359</v>
      </c>
      <c r="D137" s="75" t="s">
        <v>391</v>
      </c>
      <c r="E137" s="75"/>
      <c r="F137" s="81"/>
      <c r="G137" s="76"/>
      <c r="H137" s="76">
        <v>149195</v>
      </c>
      <c r="I137" s="76">
        <v>149195</v>
      </c>
      <c r="J137" s="217">
        <f t="shared" si="2"/>
        <v>1</v>
      </c>
    </row>
    <row r="138" spans="1:10" s="34" customFormat="1" ht="15.75" customHeight="1">
      <c r="A138" s="219"/>
      <c r="B138" s="75"/>
      <c r="C138" s="75" t="s">
        <v>266</v>
      </c>
      <c r="D138" s="75" t="s">
        <v>267</v>
      </c>
      <c r="E138" s="75"/>
      <c r="F138" s="81"/>
      <c r="G138" s="76">
        <v>500000</v>
      </c>
      <c r="H138" s="76">
        <v>500000</v>
      </c>
      <c r="I138" s="76">
        <v>0</v>
      </c>
      <c r="J138" s="217">
        <f aca="true" t="shared" si="4" ref="J138:J202">I138/H138</f>
        <v>0</v>
      </c>
    </row>
    <row r="139" spans="1:10" s="34" customFormat="1" ht="15.75" customHeight="1">
      <c r="A139" s="218"/>
      <c r="B139" s="75"/>
      <c r="C139" s="75" t="s">
        <v>254</v>
      </c>
      <c r="D139" s="75" t="s">
        <v>171</v>
      </c>
      <c r="E139" s="75"/>
      <c r="F139" s="80"/>
      <c r="G139" s="76">
        <v>50000</v>
      </c>
      <c r="H139" s="76">
        <v>50000</v>
      </c>
      <c r="I139" s="76">
        <v>30453</v>
      </c>
      <c r="J139" s="217">
        <f t="shared" si="4"/>
        <v>0.60906</v>
      </c>
    </row>
    <row r="140" spans="1:10" s="34" customFormat="1" ht="15.75" customHeight="1">
      <c r="A140" s="216" t="s">
        <v>25</v>
      </c>
      <c r="B140" s="72"/>
      <c r="C140" s="72" t="s">
        <v>186</v>
      </c>
      <c r="D140" s="79"/>
      <c r="E140" s="79"/>
      <c r="F140" s="80"/>
      <c r="G140" s="96">
        <f>G141</f>
        <v>882000</v>
      </c>
      <c r="H140" s="96">
        <f>H141</f>
        <v>882000</v>
      </c>
      <c r="I140" s="96">
        <f>I141+I142</f>
        <v>342135</v>
      </c>
      <c r="J140" s="217">
        <f t="shared" si="4"/>
        <v>0.38790816326530614</v>
      </c>
    </row>
    <row r="141" spans="1:10" s="34" customFormat="1" ht="15.75" customHeight="1">
      <c r="A141" s="218"/>
      <c r="B141" s="75"/>
      <c r="C141" s="75" t="s">
        <v>268</v>
      </c>
      <c r="D141" s="77" t="s">
        <v>269</v>
      </c>
      <c r="E141" s="75"/>
      <c r="F141" s="75"/>
      <c r="G141" s="84">
        <v>882000</v>
      </c>
      <c r="H141" s="84">
        <v>882000</v>
      </c>
      <c r="I141" s="84">
        <v>259315</v>
      </c>
      <c r="J141" s="217">
        <f t="shared" si="4"/>
        <v>0.2940079365079365</v>
      </c>
    </row>
    <row r="142" spans="1:10" s="34" customFormat="1" ht="15.75" customHeight="1">
      <c r="A142" s="218"/>
      <c r="B142" s="75"/>
      <c r="C142" s="75" t="s">
        <v>473</v>
      </c>
      <c r="D142" s="356" t="s">
        <v>474</v>
      </c>
      <c r="E142" s="357"/>
      <c r="F142" s="75"/>
      <c r="G142" s="84"/>
      <c r="H142" s="84"/>
      <c r="I142" s="84">
        <v>82820</v>
      </c>
      <c r="J142" s="217"/>
    </row>
    <row r="143" spans="1:10" s="34" customFormat="1" ht="15.75" customHeight="1">
      <c r="A143" s="216" t="s">
        <v>27</v>
      </c>
      <c r="B143" s="72"/>
      <c r="C143" s="72" t="s">
        <v>28</v>
      </c>
      <c r="D143" s="72"/>
      <c r="E143" s="72"/>
      <c r="F143" s="75"/>
      <c r="G143" s="73">
        <f>G144+G146</f>
        <v>270000</v>
      </c>
      <c r="H143" s="73">
        <f>H144+H146</f>
        <v>270000</v>
      </c>
      <c r="I143" s="73">
        <f>I144+I146</f>
        <v>0</v>
      </c>
      <c r="J143" s="217">
        <f t="shared" si="4"/>
        <v>0</v>
      </c>
    </row>
    <row r="144" spans="1:10" s="34" customFormat="1" ht="15.75" customHeight="1">
      <c r="A144" s="220"/>
      <c r="B144" s="72" t="s">
        <v>189</v>
      </c>
      <c r="C144" s="82"/>
      <c r="D144" s="72" t="s">
        <v>190</v>
      </c>
      <c r="E144" s="83"/>
      <c r="F144" s="81"/>
      <c r="G144" s="73">
        <f>+G145</f>
        <v>210000</v>
      </c>
      <c r="H144" s="73">
        <f>+H145</f>
        <v>210000</v>
      </c>
      <c r="I144" s="73">
        <f>+I145</f>
        <v>0</v>
      </c>
      <c r="J144" s="217">
        <f t="shared" si="4"/>
        <v>0</v>
      </c>
    </row>
    <row r="145" spans="1:10" s="34" customFormat="1" ht="15.75" customHeight="1">
      <c r="A145" s="218"/>
      <c r="B145" s="75"/>
      <c r="C145" s="75" t="s">
        <v>194</v>
      </c>
      <c r="D145" s="75" t="s">
        <v>195</v>
      </c>
      <c r="E145" s="75"/>
      <c r="F145" s="75"/>
      <c r="G145" s="76">
        <v>210000</v>
      </c>
      <c r="H145" s="76">
        <v>210000</v>
      </c>
      <c r="I145" s="76">
        <v>0</v>
      </c>
      <c r="J145" s="217">
        <f t="shared" si="4"/>
        <v>0</v>
      </c>
    </row>
    <row r="146" spans="1:10" s="34" customFormat="1" ht="15.75" customHeight="1">
      <c r="A146" s="218"/>
      <c r="B146" s="72" t="s">
        <v>221</v>
      </c>
      <c r="C146" s="82"/>
      <c r="D146" s="72" t="s">
        <v>222</v>
      </c>
      <c r="E146" s="82"/>
      <c r="F146" s="77"/>
      <c r="G146" s="73">
        <f>G147</f>
        <v>60000</v>
      </c>
      <c r="H146" s="73">
        <f>H147</f>
        <v>60000</v>
      </c>
      <c r="I146" s="73">
        <f>I147</f>
        <v>0</v>
      </c>
      <c r="J146" s="217">
        <f t="shared" si="4"/>
        <v>0</v>
      </c>
    </row>
    <row r="147" spans="1:10" s="34" customFormat="1" ht="15.75" customHeight="1">
      <c r="A147" s="218"/>
      <c r="B147" s="75"/>
      <c r="C147" s="75" t="s">
        <v>223</v>
      </c>
      <c r="D147" s="75" t="s">
        <v>224</v>
      </c>
      <c r="E147" s="75"/>
      <c r="F147" s="75"/>
      <c r="G147" s="84">
        <v>60000</v>
      </c>
      <c r="H147" s="84">
        <v>60000</v>
      </c>
      <c r="I147" s="84">
        <v>0</v>
      </c>
      <c r="J147" s="217">
        <f t="shared" si="4"/>
        <v>0</v>
      </c>
    </row>
    <row r="148" spans="1:10" s="34" customFormat="1" ht="15.75" customHeight="1">
      <c r="A148" s="218"/>
      <c r="B148" s="75"/>
      <c r="C148" s="75"/>
      <c r="D148" s="77"/>
      <c r="E148" s="75"/>
      <c r="F148" s="75"/>
      <c r="G148" s="76"/>
      <c r="H148" s="159"/>
      <c r="I148" s="92"/>
      <c r="J148" s="217"/>
    </row>
    <row r="149" spans="1:10" s="34" customFormat="1" ht="15.75" customHeight="1">
      <c r="A149" s="176" t="s">
        <v>270</v>
      </c>
      <c r="B149" s="86"/>
      <c r="C149" s="86"/>
      <c r="D149" s="86"/>
      <c r="E149" s="86"/>
      <c r="F149" s="86"/>
      <c r="G149" s="70">
        <f>G150+G160</f>
        <v>18302000</v>
      </c>
      <c r="H149" s="70">
        <f>H150+H160</f>
        <v>19253000</v>
      </c>
      <c r="I149" s="70">
        <f>I150+I160</f>
        <v>11969251</v>
      </c>
      <c r="J149" s="192">
        <f t="shared" si="4"/>
        <v>0.6216823871604426</v>
      </c>
    </row>
    <row r="150" spans="1:10" s="34" customFormat="1" ht="15.75" customHeight="1">
      <c r="A150" s="216" t="s">
        <v>27</v>
      </c>
      <c r="B150" s="72"/>
      <c r="C150" s="72" t="s">
        <v>28</v>
      </c>
      <c r="D150" s="72"/>
      <c r="E150" s="72"/>
      <c r="F150" s="75"/>
      <c r="G150" s="73">
        <f>G151+G155+G158</f>
        <v>3302000</v>
      </c>
      <c r="H150" s="73">
        <f>H151+H155+H158</f>
        <v>4253000</v>
      </c>
      <c r="I150" s="73">
        <f>I151+I155+I158</f>
        <v>3291804</v>
      </c>
      <c r="J150" s="217">
        <f t="shared" si="4"/>
        <v>0.7739957676933928</v>
      </c>
    </row>
    <row r="151" spans="1:10" s="34" customFormat="1" ht="15.75" customHeight="1">
      <c r="A151" s="220"/>
      <c r="B151" s="72" t="s">
        <v>189</v>
      </c>
      <c r="C151" s="82"/>
      <c r="D151" s="72" t="s">
        <v>190</v>
      </c>
      <c r="E151" s="83"/>
      <c r="F151" s="72"/>
      <c r="G151" s="73">
        <f>G152</f>
        <v>1200000</v>
      </c>
      <c r="H151" s="73">
        <f>H152</f>
        <v>1200000</v>
      </c>
      <c r="I151" s="73">
        <f>I152</f>
        <v>250959</v>
      </c>
      <c r="J151" s="217">
        <f t="shared" si="4"/>
        <v>0.2091325</v>
      </c>
    </row>
    <row r="152" spans="1:10" s="34" customFormat="1" ht="15.75" customHeight="1">
      <c r="A152" s="218"/>
      <c r="B152" s="75"/>
      <c r="C152" s="75" t="s">
        <v>194</v>
      </c>
      <c r="D152" s="75" t="s">
        <v>195</v>
      </c>
      <c r="E152" s="75"/>
      <c r="F152" s="75"/>
      <c r="G152" s="76">
        <f>G154+G153</f>
        <v>1200000</v>
      </c>
      <c r="H152" s="76">
        <f>H154+H153</f>
        <v>1200000</v>
      </c>
      <c r="I152" s="76">
        <f>I154+I153</f>
        <v>250959</v>
      </c>
      <c r="J152" s="217">
        <f t="shared" si="4"/>
        <v>0.2091325</v>
      </c>
    </row>
    <row r="153" spans="1:10" s="34" customFormat="1" ht="15.75" customHeight="1">
      <c r="A153" s="218"/>
      <c r="B153" s="75"/>
      <c r="C153" s="75"/>
      <c r="D153" s="75"/>
      <c r="E153" s="75" t="s">
        <v>271</v>
      </c>
      <c r="F153" s="75"/>
      <c r="G153" s="76">
        <v>200000</v>
      </c>
      <c r="H153" s="76">
        <v>200000</v>
      </c>
      <c r="I153" s="76">
        <v>150000</v>
      </c>
      <c r="J153" s="217">
        <f t="shared" si="4"/>
        <v>0.75</v>
      </c>
    </row>
    <row r="154" spans="1:10" s="34" customFormat="1" ht="15.75" customHeight="1">
      <c r="A154" s="216"/>
      <c r="B154" s="72"/>
      <c r="C154" s="72"/>
      <c r="D154" s="72"/>
      <c r="E154" s="77" t="s">
        <v>196</v>
      </c>
      <c r="F154" s="75"/>
      <c r="G154" s="76">
        <v>1000000</v>
      </c>
      <c r="H154" s="76">
        <v>1000000</v>
      </c>
      <c r="I154" s="76">
        <v>100959</v>
      </c>
      <c r="J154" s="217">
        <f t="shared" si="4"/>
        <v>0.100959</v>
      </c>
    </row>
    <row r="155" spans="1:10" s="34" customFormat="1" ht="15.75" customHeight="1">
      <c r="A155" s="220"/>
      <c r="B155" s="72" t="s">
        <v>203</v>
      </c>
      <c r="C155" s="82"/>
      <c r="D155" s="72" t="s">
        <v>204</v>
      </c>
      <c r="E155" s="82"/>
      <c r="F155" s="72"/>
      <c r="G155" s="73">
        <f>G156</f>
        <v>1400000</v>
      </c>
      <c r="H155" s="73">
        <f>H156+H157</f>
        <v>2351000</v>
      </c>
      <c r="I155" s="73">
        <f>I156+I157</f>
        <v>2350367</v>
      </c>
      <c r="J155" s="217">
        <f t="shared" si="4"/>
        <v>0.9997307528711187</v>
      </c>
    </row>
    <row r="156" spans="1:10" s="34" customFormat="1" ht="15.75" customHeight="1">
      <c r="A156" s="218"/>
      <c r="B156" s="75"/>
      <c r="C156" s="75" t="s">
        <v>212</v>
      </c>
      <c r="D156" s="75" t="s">
        <v>213</v>
      </c>
      <c r="E156" s="75"/>
      <c r="F156" s="81"/>
      <c r="G156" s="76">
        <v>1400000</v>
      </c>
      <c r="H156" s="76">
        <v>2006000</v>
      </c>
      <c r="I156" s="76">
        <v>2005637</v>
      </c>
      <c r="J156" s="217">
        <f t="shared" si="4"/>
        <v>0.9998190428713858</v>
      </c>
    </row>
    <row r="157" spans="1:10" s="34" customFormat="1" ht="15.75" customHeight="1">
      <c r="A157" s="218"/>
      <c r="B157" s="75"/>
      <c r="C157" s="75" t="s">
        <v>256</v>
      </c>
      <c r="D157" s="75" t="s">
        <v>450</v>
      </c>
      <c r="E157" s="75"/>
      <c r="F157" s="81"/>
      <c r="G157" s="76"/>
      <c r="H157" s="76">
        <v>345000</v>
      </c>
      <c r="I157" s="76">
        <v>344730</v>
      </c>
      <c r="J157" s="217">
        <f t="shared" si="4"/>
        <v>0.9992173913043478</v>
      </c>
    </row>
    <row r="158" spans="1:10" s="34" customFormat="1" ht="15.75" customHeight="1">
      <c r="A158" s="220"/>
      <c r="B158" s="72" t="s">
        <v>221</v>
      </c>
      <c r="C158" s="82"/>
      <c r="D158" s="72" t="s">
        <v>222</v>
      </c>
      <c r="E158" s="82"/>
      <c r="F158" s="83"/>
      <c r="G158" s="73">
        <f>G159</f>
        <v>702000</v>
      </c>
      <c r="H158" s="73">
        <f>H159</f>
        <v>702000</v>
      </c>
      <c r="I158" s="73">
        <f>I159</f>
        <v>690478</v>
      </c>
      <c r="J158" s="217">
        <f t="shared" si="4"/>
        <v>0.9835868945868946</v>
      </c>
    </row>
    <row r="159" spans="1:10" s="34" customFormat="1" ht="15.75" customHeight="1">
      <c r="A159" s="218"/>
      <c r="B159" s="75"/>
      <c r="C159" s="75" t="s">
        <v>223</v>
      </c>
      <c r="D159" s="75" t="s">
        <v>224</v>
      </c>
      <c r="E159" s="75"/>
      <c r="F159" s="81"/>
      <c r="G159" s="76">
        <v>702000</v>
      </c>
      <c r="H159" s="76">
        <v>702000</v>
      </c>
      <c r="I159" s="76">
        <v>690478</v>
      </c>
      <c r="J159" s="217">
        <f t="shared" si="4"/>
        <v>0.9835868945868946</v>
      </c>
    </row>
    <row r="160" spans="1:10" s="34" customFormat="1" ht="15.75" customHeight="1">
      <c r="A160" s="222" t="s">
        <v>36</v>
      </c>
      <c r="B160" s="65"/>
      <c r="C160" s="97" t="s">
        <v>37</v>
      </c>
      <c r="D160" s="65"/>
      <c r="E160" s="65"/>
      <c r="F160" s="81"/>
      <c r="G160" s="73">
        <f>SUM(G161:G162)</f>
        <v>15000000</v>
      </c>
      <c r="H160" s="73">
        <f>SUM(H161:H162)</f>
        <v>15000000</v>
      </c>
      <c r="I160" s="73">
        <f>SUM(I161:I162)</f>
        <v>8677447</v>
      </c>
      <c r="J160" s="217">
        <f t="shared" si="4"/>
        <v>0.5784964666666667</v>
      </c>
    </row>
    <row r="161" spans="1:10" s="34" customFormat="1" ht="15.75" customHeight="1">
      <c r="A161" s="219"/>
      <c r="B161" s="97" t="s">
        <v>272</v>
      </c>
      <c r="C161" s="65"/>
      <c r="D161" s="65" t="s">
        <v>273</v>
      </c>
      <c r="E161" s="65"/>
      <c r="F161" s="81"/>
      <c r="G161" s="76">
        <v>11811000</v>
      </c>
      <c r="H161" s="76">
        <v>11811000</v>
      </c>
      <c r="I161" s="76">
        <v>6832635</v>
      </c>
      <c r="J161" s="217">
        <f t="shared" si="4"/>
        <v>0.578497586995174</v>
      </c>
    </row>
    <row r="162" spans="1:10" s="34" customFormat="1" ht="15.75" customHeight="1">
      <c r="A162" s="219"/>
      <c r="B162" s="97" t="s">
        <v>274</v>
      </c>
      <c r="C162" s="65"/>
      <c r="D162" s="65" t="s">
        <v>275</v>
      </c>
      <c r="E162" s="65"/>
      <c r="F162" s="81"/>
      <c r="G162" s="76">
        <v>3189000</v>
      </c>
      <c r="H162" s="76">
        <v>3189000</v>
      </c>
      <c r="I162" s="76">
        <v>1844812</v>
      </c>
      <c r="J162" s="217">
        <f t="shared" si="4"/>
        <v>0.5784923173408592</v>
      </c>
    </row>
    <row r="163" spans="1:10" s="34" customFormat="1" ht="15.75" customHeight="1">
      <c r="A163" s="219"/>
      <c r="B163" s="65"/>
      <c r="C163" s="65"/>
      <c r="D163" s="65"/>
      <c r="E163" s="65"/>
      <c r="F163" s="81"/>
      <c r="G163" s="76"/>
      <c r="H163" s="159"/>
      <c r="I163" s="92"/>
      <c r="J163" s="217"/>
    </row>
    <row r="164" spans="1:10" s="34" customFormat="1" ht="15.75" customHeight="1">
      <c r="A164" s="176" t="s">
        <v>364</v>
      </c>
      <c r="B164" s="86"/>
      <c r="C164" s="86"/>
      <c r="D164" s="86"/>
      <c r="E164" s="86"/>
      <c r="F164" s="86"/>
      <c r="G164" s="70">
        <f>G165</f>
        <v>2120000</v>
      </c>
      <c r="H164" s="70">
        <f>H165</f>
        <v>2120000</v>
      </c>
      <c r="I164" s="70">
        <f>I165</f>
        <v>1001696</v>
      </c>
      <c r="J164" s="192">
        <f t="shared" si="4"/>
        <v>0.47249811320754714</v>
      </c>
    </row>
    <row r="165" spans="1:10" s="125" customFormat="1" ht="15.75" customHeight="1">
      <c r="A165" s="216" t="s">
        <v>27</v>
      </c>
      <c r="B165" s="72"/>
      <c r="C165" s="72" t="s">
        <v>28</v>
      </c>
      <c r="D165" s="72"/>
      <c r="E165" s="72"/>
      <c r="F165" s="75"/>
      <c r="G165" s="73">
        <f>G166+G168+G172</f>
        <v>2120000</v>
      </c>
      <c r="H165" s="73">
        <f>H166+H168+H172</f>
        <v>2120000</v>
      </c>
      <c r="I165" s="73">
        <f>I166+I168+I172</f>
        <v>1001696</v>
      </c>
      <c r="J165" s="217">
        <f t="shared" si="4"/>
        <v>0.47249811320754714</v>
      </c>
    </row>
    <row r="166" spans="1:10" s="125" customFormat="1" ht="15.75" customHeight="1">
      <c r="A166" s="220"/>
      <c r="B166" s="72" t="s">
        <v>189</v>
      </c>
      <c r="C166" s="82"/>
      <c r="D166" s="72" t="s">
        <v>190</v>
      </c>
      <c r="E166" s="83"/>
      <c r="F166" s="72"/>
      <c r="G166" s="73">
        <f>G167</f>
        <v>500000</v>
      </c>
      <c r="H166" s="73">
        <f>H167</f>
        <v>374000</v>
      </c>
      <c r="I166" s="73">
        <f>I167</f>
        <v>84160</v>
      </c>
      <c r="J166" s="217">
        <f t="shared" si="4"/>
        <v>0.22502673796791445</v>
      </c>
    </row>
    <row r="167" spans="1:10" s="125" customFormat="1" ht="15.75" customHeight="1">
      <c r="A167" s="218"/>
      <c r="B167" s="75"/>
      <c r="C167" s="75" t="s">
        <v>194</v>
      </c>
      <c r="D167" s="75" t="s">
        <v>195</v>
      </c>
      <c r="E167" s="75"/>
      <c r="F167" s="75"/>
      <c r="G167" s="76">
        <v>500000</v>
      </c>
      <c r="H167" s="76">
        <v>374000</v>
      </c>
      <c r="I167" s="76">
        <v>84160</v>
      </c>
      <c r="J167" s="217">
        <f t="shared" si="4"/>
        <v>0.22502673796791445</v>
      </c>
    </row>
    <row r="168" spans="1:10" s="34" customFormat="1" ht="15.75" customHeight="1">
      <c r="A168" s="220"/>
      <c r="B168" s="72" t="s">
        <v>203</v>
      </c>
      <c r="C168" s="82"/>
      <c r="D168" s="72" t="s">
        <v>204</v>
      </c>
      <c r="E168" s="82"/>
      <c r="F168" s="72"/>
      <c r="G168" s="73">
        <f>G169+G170+G171</f>
        <v>1320000</v>
      </c>
      <c r="H168" s="73">
        <f>H169+H170+H171</f>
        <v>1446000</v>
      </c>
      <c r="I168" s="73">
        <f>I169+I170+I171</f>
        <v>753662</v>
      </c>
      <c r="J168" s="217">
        <f t="shared" si="4"/>
        <v>0.5212047026279392</v>
      </c>
    </row>
    <row r="169" spans="1:10" s="34" customFormat="1" ht="15.75" customHeight="1">
      <c r="A169" s="218"/>
      <c r="B169" s="75"/>
      <c r="C169" s="75" t="s">
        <v>205</v>
      </c>
      <c r="D169" s="75" t="s">
        <v>206</v>
      </c>
      <c r="E169" s="75"/>
      <c r="F169" s="81"/>
      <c r="G169" s="76">
        <v>120000</v>
      </c>
      <c r="H169" s="76">
        <v>196000</v>
      </c>
      <c r="I169" s="76">
        <v>195873</v>
      </c>
      <c r="J169" s="217">
        <f t="shared" si="4"/>
        <v>0.9993520408163266</v>
      </c>
    </row>
    <row r="170" spans="1:10" s="34" customFormat="1" ht="15.75" customHeight="1">
      <c r="A170" s="219"/>
      <c r="B170" s="65"/>
      <c r="C170" s="75" t="s">
        <v>212</v>
      </c>
      <c r="D170" s="75" t="s">
        <v>213</v>
      </c>
      <c r="E170" s="75"/>
      <c r="F170" s="81"/>
      <c r="G170" s="76">
        <v>200000</v>
      </c>
      <c r="H170" s="76">
        <v>250000</v>
      </c>
      <c r="I170" s="76">
        <v>248421</v>
      </c>
      <c r="J170" s="217">
        <f t="shared" si="4"/>
        <v>0.993684</v>
      </c>
    </row>
    <row r="171" spans="1:10" s="34" customFormat="1" ht="15.75" customHeight="1">
      <c r="A171" s="219"/>
      <c r="B171" s="65"/>
      <c r="C171" s="75" t="s">
        <v>214</v>
      </c>
      <c r="D171" s="75" t="s">
        <v>215</v>
      </c>
      <c r="E171" s="75"/>
      <c r="F171" s="81"/>
      <c r="G171" s="76">
        <v>1000000</v>
      </c>
      <c r="H171" s="76">
        <v>1000000</v>
      </c>
      <c r="I171" s="76">
        <v>309368</v>
      </c>
      <c r="J171" s="217">
        <f t="shared" si="4"/>
        <v>0.309368</v>
      </c>
    </row>
    <row r="172" spans="1:10" s="34" customFormat="1" ht="15.75" customHeight="1">
      <c r="A172" s="219"/>
      <c r="B172" s="72" t="s">
        <v>221</v>
      </c>
      <c r="C172" s="82"/>
      <c r="D172" s="72" t="s">
        <v>222</v>
      </c>
      <c r="E172" s="82"/>
      <c r="F172" s="81"/>
      <c r="G172" s="76">
        <f>SUM(G173)</f>
        <v>300000</v>
      </c>
      <c r="H172" s="76">
        <f>SUM(H173)</f>
        <v>300000</v>
      </c>
      <c r="I172" s="76">
        <f>SUM(I173)</f>
        <v>163874</v>
      </c>
      <c r="J172" s="217">
        <f t="shared" si="4"/>
        <v>0.5462466666666667</v>
      </c>
    </row>
    <row r="173" spans="1:10" s="34" customFormat="1" ht="15.75" customHeight="1">
      <c r="A173" s="218"/>
      <c r="B173" s="75"/>
      <c r="C173" s="75" t="s">
        <v>223</v>
      </c>
      <c r="D173" s="75" t="s">
        <v>224</v>
      </c>
      <c r="E173" s="75"/>
      <c r="F173" s="81"/>
      <c r="G173" s="76">
        <v>300000</v>
      </c>
      <c r="H173" s="76">
        <v>300000</v>
      </c>
      <c r="I173" s="76">
        <v>163874</v>
      </c>
      <c r="J173" s="217">
        <f t="shared" si="4"/>
        <v>0.5462466666666667</v>
      </c>
    </row>
    <row r="174" spans="1:10" s="34" customFormat="1" ht="15.75" customHeight="1">
      <c r="A174" s="218"/>
      <c r="B174" s="75"/>
      <c r="C174" s="75"/>
      <c r="D174" s="75"/>
      <c r="E174" s="75"/>
      <c r="F174" s="81"/>
      <c r="G174" s="76"/>
      <c r="H174" s="159"/>
      <c r="I174" s="92"/>
      <c r="J174" s="217"/>
    </row>
    <row r="175" spans="1:10" s="34" customFormat="1" ht="15.75" customHeight="1">
      <c r="A175" s="176" t="s">
        <v>118</v>
      </c>
      <c r="B175" s="88"/>
      <c r="C175" s="88"/>
      <c r="D175" s="88"/>
      <c r="E175" s="89"/>
      <c r="F175" s="98">
        <v>1.25</v>
      </c>
      <c r="G175" s="70">
        <f>G176+G186+G189</f>
        <v>6152598</v>
      </c>
      <c r="H175" s="70">
        <f>H176+H186+H189</f>
        <v>7670817</v>
      </c>
      <c r="I175" s="70">
        <f>I176+I186+I189</f>
        <v>6705929</v>
      </c>
      <c r="J175" s="192">
        <f t="shared" si="4"/>
        <v>0.8742131379225968</v>
      </c>
    </row>
    <row r="176" spans="1:10" s="34" customFormat="1" ht="15.75" customHeight="1">
      <c r="A176" s="216" t="s">
        <v>23</v>
      </c>
      <c r="B176" s="72"/>
      <c r="C176" s="72" t="s">
        <v>169</v>
      </c>
      <c r="D176" s="72"/>
      <c r="E176" s="72"/>
      <c r="F176" s="81"/>
      <c r="G176" s="73">
        <f>G177</f>
        <v>3500500</v>
      </c>
      <c r="H176" s="73">
        <f>H177+H184</f>
        <v>4784719</v>
      </c>
      <c r="I176" s="73">
        <f>I177+I184</f>
        <v>4429487</v>
      </c>
      <c r="J176" s="217">
        <f t="shared" si="4"/>
        <v>0.9257569775779936</v>
      </c>
    </row>
    <row r="177" spans="1:10" s="34" customFormat="1" ht="15.75" customHeight="1">
      <c r="A177" s="218"/>
      <c r="B177" s="72" t="s">
        <v>170</v>
      </c>
      <c r="C177" s="75"/>
      <c r="D177" s="75" t="s">
        <v>171</v>
      </c>
      <c r="E177" s="75"/>
      <c r="F177" s="81"/>
      <c r="G177" s="76">
        <f>SUM(G178:G182)</f>
        <v>3500500</v>
      </c>
      <c r="H177" s="76">
        <f>SUM(H178:H183)</f>
        <v>3886624</v>
      </c>
      <c r="I177" s="76">
        <f>SUM(I178:I183)</f>
        <v>3531392</v>
      </c>
      <c r="J177" s="217">
        <f t="shared" si="4"/>
        <v>0.9086013980256387</v>
      </c>
    </row>
    <row r="178" spans="1:10" s="34" customFormat="1" ht="15.75" customHeight="1">
      <c r="A178" s="219"/>
      <c r="B178" s="75"/>
      <c r="C178" s="75" t="s">
        <v>172</v>
      </c>
      <c r="D178" s="75" t="s">
        <v>173</v>
      </c>
      <c r="E178" s="75"/>
      <c r="F178" s="81"/>
      <c r="G178" s="76">
        <v>3177000</v>
      </c>
      <c r="H178" s="76">
        <v>3177000</v>
      </c>
      <c r="I178" s="76">
        <v>2911342</v>
      </c>
      <c r="J178" s="217">
        <f t="shared" si="4"/>
        <v>0.9163808624488511</v>
      </c>
    </row>
    <row r="179" spans="1:10" s="34" customFormat="1" ht="15.75" customHeight="1">
      <c r="A179" s="219"/>
      <c r="B179" s="75"/>
      <c r="C179" s="75" t="s">
        <v>359</v>
      </c>
      <c r="D179" s="75" t="s">
        <v>391</v>
      </c>
      <c r="E179" s="75"/>
      <c r="F179" s="81"/>
      <c r="G179" s="76">
        <v>100000</v>
      </c>
      <c r="H179" s="76">
        <v>108000</v>
      </c>
      <c r="I179" s="76">
        <v>108000</v>
      </c>
      <c r="J179" s="217">
        <f t="shared" si="4"/>
        <v>1</v>
      </c>
    </row>
    <row r="180" spans="1:10" s="34" customFormat="1" ht="15.75" customHeight="1">
      <c r="A180" s="219"/>
      <c r="B180" s="75"/>
      <c r="C180" s="75" t="s">
        <v>266</v>
      </c>
      <c r="D180" s="75" t="s">
        <v>424</v>
      </c>
      <c r="E180" s="75"/>
      <c r="F180" s="81"/>
      <c r="G180" s="76"/>
      <c r="H180" s="76">
        <v>342000</v>
      </c>
      <c r="I180" s="76">
        <v>327345</v>
      </c>
      <c r="J180" s="217">
        <f t="shared" si="4"/>
        <v>0.9571491228070176</v>
      </c>
    </row>
    <row r="181" spans="1:10" s="34" customFormat="1" ht="15.75" customHeight="1">
      <c r="A181" s="218"/>
      <c r="B181" s="75"/>
      <c r="C181" s="75" t="s">
        <v>174</v>
      </c>
      <c r="D181" s="75" t="s">
        <v>175</v>
      </c>
      <c r="E181" s="75"/>
      <c r="F181" s="81"/>
      <c r="G181" s="76">
        <v>223500</v>
      </c>
      <c r="H181" s="76">
        <v>223500</v>
      </c>
      <c r="I181" s="76">
        <v>148699</v>
      </c>
      <c r="J181" s="217">
        <f t="shared" si="4"/>
        <v>0.6653199105145414</v>
      </c>
    </row>
    <row r="182" spans="1:10" s="34" customFormat="1" ht="15.75" customHeight="1">
      <c r="A182" s="218"/>
      <c r="B182" s="75"/>
      <c r="C182" s="75" t="s">
        <v>286</v>
      </c>
      <c r="D182" s="75" t="s">
        <v>287</v>
      </c>
      <c r="E182" s="75"/>
      <c r="F182" s="81"/>
      <c r="G182" s="76">
        <v>0</v>
      </c>
      <c r="H182" s="76">
        <v>7624</v>
      </c>
      <c r="I182" s="76">
        <v>7625</v>
      </c>
      <c r="J182" s="217">
        <f t="shared" si="4"/>
        <v>1.0001311647429172</v>
      </c>
    </row>
    <row r="183" spans="1:10" s="34" customFormat="1" ht="15.75" customHeight="1">
      <c r="A183" s="218"/>
      <c r="B183" s="75"/>
      <c r="C183" s="75" t="s">
        <v>254</v>
      </c>
      <c r="D183" s="75" t="s">
        <v>475</v>
      </c>
      <c r="E183" s="75"/>
      <c r="F183" s="81"/>
      <c r="G183" s="76"/>
      <c r="H183" s="76">
        <v>28500</v>
      </c>
      <c r="I183" s="76">
        <v>28381</v>
      </c>
      <c r="J183" s="217">
        <f t="shared" si="4"/>
        <v>0.9958245614035087</v>
      </c>
    </row>
    <row r="184" spans="1:10" s="34" customFormat="1" ht="15.75" customHeight="1">
      <c r="A184" s="218"/>
      <c r="B184" s="72" t="s">
        <v>176</v>
      </c>
      <c r="C184" s="75"/>
      <c r="D184" s="75" t="s">
        <v>177</v>
      </c>
      <c r="E184" s="75"/>
      <c r="F184" s="81"/>
      <c r="G184" s="76"/>
      <c r="H184" s="76">
        <f>SUM(H185)</f>
        <v>898095</v>
      </c>
      <c r="I184" s="76">
        <f>SUM(I185)</f>
        <v>898095</v>
      </c>
      <c r="J184" s="217">
        <f t="shared" si="4"/>
        <v>1</v>
      </c>
    </row>
    <row r="185" spans="1:10" s="34" customFormat="1" ht="15.75" customHeight="1">
      <c r="A185" s="218"/>
      <c r="B185" s="75"/>
      <c r="C185" s="75"/>
      <c r="D185" s="75" t="s">
        <v>407</v>
      </c>
      <c r="E185" s="75"/>
      <c r="F185" s="81"/>
      <c r="G185" s="76"/>
      <c r="H185" s="76">
        <v>898095</v>
      </c>
      <c r="I185" s="76">
        <v>898095</v>
      </c>
      <c r="J185" s="217">
        <f t="shared" si="4"/>
        <v>1</v>
      </c>
    </row>
    <row r="186" spans="1:10" s="34" customFormat="1" ht="15.75" customHeight="1">
      <c r="A186" s="216" t="s">
        <v>25</v>
      </c>
      <c r="B186" s="72"/>
      <c r="C186" s="72" t="s">
        <v>186</v>
      </c>
      <c r="D186" s="79"/>
      <c r="E186" s="79"/>
      <c r="F186" s="81"/>
      <c r="G186" s="73">
        <f>SUM(G187:G188)</f>
        <v>717098</v>
      </c>
      <c r="H186" s="73">
        <f>SUM(H187:H188)</f>
        <v>717098</v>
      </c>
      <c r="I186" s="73">
        <f>SUM(I187:I188)</f>
        <v>697251</v>
      </c>
      <c r="J186" s="217">
        <f t="shared" si="4"/>
        <v>0.9723231692181543</v>
      </c>
    </row>
    <row r="187" spans="1:10" s="34" customFormat="1" ht="15.75" customHeight="1">
      <c r="A187" s="218"/>
      <c r="B187" s="75"/>
      <c r="C187" s="75"/>
      <c r="D187" s="77" t="s">
        <v>187</v>
      </c>
      <c r="E187" s="75"/>
      <c r="F187" s="81"/>
      <c r="G187" s="76">
        <f>663098+20000</f>
        <v>683098</v>
      </c>
      <c r="H187" s="76">
        <f>663098+20000</f>
        <v>683098</v>
      </c>
      <c r="I187" s="76">
        <v>672556</v>
      </c>
      <c r="J187" s="217">
        <f t="shared" si="4"/>
        <v>0.984567368078958</v>
      </c>
    </row>
    <row r="188" spans="1:10" s="34" customFormat="1" ht="15.75" customHeight="1">
      <c r="A188" s="218"/>
      <c r="B188" s="75"/>
      <c r="C188" s="75"/>
      <c r="D188" s="77" t="s">
        <v>188</v>
      </c>
      <c r="E188" s="75"/>
      <c r="F188" s="81"/>
      <c r="G188" s="76">
        <v>34000</v>
      </c>
      <c r="H188" s="76">
        <v>34000</v>
      </c>
      <c r="I188" s="76">
        <v>24695</v>
      </c>
      <c r="J188" s="217">
        <f t="shared" si="4"/>
        <v>0.7263235294117647</v>
      </c>
    </row>
    <row r="189" spans="1:10" s="34" customFormat="1" ht="15.75" customHeight="1">
      <c r="A189" s="216" t="s">
        <v>27</v>
      </c>
      <c r="B189" s="72"/>
      <c r="C189" s="72" t="s">
        <v>28</v>
      </c>
      <c r="D189" s="72"/>
      <c r="E189" s="72"/>
      <c r="F189" s="77"/>
      <c r="G189" s="73">
        <f>G190+G194+G197+G207+G204</f>
        <v>1935000</v>
      </c>
      <c r="H189" s="73">
        <f>H190+H194+H197+H207+H204</f>
        <v>2169000</v>
      </c>
      <c r="I189" s="73">
        <f>I190+I194+I197+I207+I204</f>
        <v>1579191</v>
      </c>
      <c r="J189" s="217">
        <f t="shared" si="4"/>
        <v>0.7280733056708161</v>
      </c>
    </row>
    <row r="190" spans="1:10" s="34" customFormat="1" ht="15.75" customHeight="1">
      <c r="A190" s="220"/>
      <c r="B190" s="72" t="s">
        <v>189</v>
      </c>
      <c r="C190" s="82"/>
      <c r="D190" s="72" t="s">
        <v>190</v>
      </c>
      <c r="E190" s="83"/>
      <c r="F190" s="77"/>
      <c r="G190" s="73">
        <f>G191+G192+G193</f>
        <v>650000</v>
      </c>
      <c r="H190" s="73">
        <f>H191+H192+H193</f>
        <v>1050000</v>
      </c>
      <c r="I190" s="73">
        <f>I191+I192+I193</f>
        <v>908511</v>
      </c>
      <c r="J190" s="217">
        <f t="shared" si="4"/>
        <v>0.8652485714285715</v>
      </c>
    </row>
    <row r="191" spans="1:10" s="34" customFormat="1" ht="15.75" customHeight="1">
      <c r="A191" s="218"/>
      <c r="B191" s="75"/>
      <c r="C191" s="75" t="s">
        <v>191</v>
      </c>
      <c r="D191" s="75" t="s">
        <v>192</v>
      </c>
      <c r="E191" s="81"/>
      <c r="F191" s="77"/>
      <c r="G191" s="76">
        <v>100000</v>
      </c>
      <c r="H191" s="76">
        <v>100000</v>
      </c>
      <c r="I191" s="76">
        <v>8450</v>
      </c>
      <c r="J191" s="217">
        <f t="shared" si="4"/>
        <v>0.0845</v>
      </c>
    </row>
    <row r="192" spans="1:10" s="34" customFormat="1" ht="15.75" customHeight="1">
      <c r="A192" s="218"/>
      <c r="B192" s="75"/>
      <c r="C192" s="75" t="s">
        <v>194</v>
      </c>
      <c r="D192" s="75" t="s">
        <v>195</v>
      </c>
      <c r="E192" s="75"/>
      <c r="F192" s="77"/>
      <c r="G192" s="76">
        <v>250000</v>
      </c>
      <c r="H192" s="76">
        <v>250000</v>
      </c>
      <c r="I192" s="76">
        <v>231250</v>
      </c>
      <c r="J192" s="217">
        <f t="shared" si="4"/>
        <v>0.925</v>
      </c>
    </row>
    <row r="193" spans="1:10" s="34" customFormat="1" ht="15.75" customHeight="1">
      <c r="A193" s="216"/>
      <c r="B193" s="72"/>
      <c r="C193" s="75" t="s">
        <v>276</v>
      </c>
      <c r="D193" s="75" t="s">
        <v>277</v>
      </c>
      <c r="E193" s="75"/>
      <c r="F193" s="81"/>
      <c r="G193" s="84">
        <v>300000</v>
      </c>
      <c r="H193" s="84">
        <v>700000</v>
      </c>
      <c r="I193" s="84">
        <v>668811</v>
      </c>
      <c r="J193" s="217">
        <f t="shared" si="4"/>
        <v>0.9554442857142857</v>
      </c>
    </row>
    <row r="194" spans="1:10" s="41" customFormat="1" ht="15.75" customHeight="1">
      <c r="A194" s="220"/>
      <c r="B194" s="72" t="s">
        <v>197</v>
      </c>
      <c r="C194" s="82"/>
      <c r="D194" s="72" t="s">
        <v>198</v>
      </c>
      <c r="E194" s="82"/>
      <c r="F194" s="83"/>
      <c r="G194" s="73">
        <f>G195+G196</f>
        <v>290000</v>
      </c>
      <c r="H194" s="73">
        <f>H195+H196</f>
        <v>290000</v>
      </c>
      <c r="I194" s="73">
        <f>I195+I196</f>
        <v>112247</v>
      </c>
      <c r="J194" s="217">
        <f t="shared" si="4"/>
        <v>0.3870586206896552</v>
      </c>
    </row>
    <row r="195" spans="1:10" s="34" customFormat="1" ht="15.75" customHeight="1">
      <c r="A195" s="218"/>
      <c r="B195" s="75"/>
      <c r="C195" s="75" t="s">
        <v>199</v>
      </c>
      <c r="D195" s="75" t="s">
        <v>200</v>
      </c>
      <c r="E195" s="75"/>
      <c r="F195" s="81"/>
      <c r="G195" s="76">
        <v>90000</v>
      </c>
      <c r="H195" s="76">
        <v>90000</v>
      </c>
      <c r="I195" s="76">
        <v>66248</v>
      </c>
      <c r="J195" s="217">
        <f t="shared" si="4"/>
        <v>0.7360888888888889</v>
      </c>
    </row>
    <row r="196" spans="1:10" s="34" customFormat="1" ht="15.75" customHeight="1">
      <c r="A196" s="218"/>
      <c r="B196" s="75"/>
      <c r="C196" s="75" t="s">
        <v>201</v>
      </c>
      <c r="D196" s="75" t="s">
        <v>202</v>
      </c>
      <c r="E196" s="75"/>
      <c r="F196" s="81"/>
      <c r="G196" s="76">
        <v>200000</v>
      </c>
      <c r="H196" s="76">
        <v>200000</v>
      </c>
      <c r="I196" s="76">
        <v>45999</v>
      </c>
      <c r="J196" s="217">
        <f t="shared" si="4"/>
        <v>0.229995</v>
      </c>
    </row>
    <row r="197" spans="1:10" s="34" customFormat="1" ht="15.75" customHeight="1">
      <c r="A197" s="220"/>
      <c r="B197" s="72" t="s">
        <v>203</v>
      </c>
      <c r="C197" s="82"/>
      <c r="D197" s="72" t="s">
        <v>204</v>
      </c>
      <c r="E197" s="82"/>
      <c r="F197" s="81"/>
      <c r="G197" s="73">
        <f>G198+G202+G203</f>
        <v>345000</v>
      </c>
      <c r="H197" s="73">
        <f>H198+H202+H203</f>
        <v>409000</v>
      </c>
      <c r="I197" s="73">
        <f>I198+I202+I203</f>
        <v>302806</v>
      </c>
      <c r="J197" s="217">
        <f t="shared" si="4"/>
        <v>0.740356968215159</v>
      </c>
    </row>
    <row r="198" spans="1:10" s="34" customFormat="1" ht="15.75" customHeight="1">
      <c r="A198" s="218"/>
      <c r="B198" s="75"/>
      <c r="C198" s="75" t="s">
        <v>205</v>
      </c>
      <c r="D198" s="75" t="s">
        <v>206</v>
      </c>
      <c r="E198" s="75"/>
      <c r="F198" s="81"/>
      <c r="G198" s="76">
        <f>SUM(G199:G201)</f>
        <v>210000</v>
      </c>
      <c r="H198" s="76">
        <f>SUM(H199:H201)</f>
        <v>210000</v>
      </c>
      <c r="I198" s="76">
        <f>SUM(I199:I201)</f>
        <v>136453</v>
      </c>
      <c r="J198" s="217">
        <f t="shared" si="4"/>
        <v>0.6497761904761905</v>
      </c>
    </row>
    <row r="199" spans="1:10" s="34" customFormat="1" ht="15.75" customHeight="1">
      <c r="A199" s="218"/>
      <c r="B199" s="75"/>
      <c r="C199" s="75"/>
      <c r="D199" s="75"/>
      <c r="E199" s="77" t="s">
        <v>207</v>
      </c>
      <c r="F199" s="81"/>
      <c r="G199" s="99">
        <v>80000</v>
      </c>
      <c r="H199" s="99">
        <v>80000</v>
      </c>
      <c r="I199" s="99">
        <v>36453</v>
      </c>
      <c r="J199" s="217">
        <f t="shared" si="4"/>
        <v>0.4556625</v>
      </c>
    </row>
    <row r="200" spans="1:10" s="34" customFormat="1" ht="15.75" customHeight="1">
      <c r="A200" s="218"/>
      <c r="B200" s="75"/>
      <c r="C200" s="75"/>
      <c r="D200" s="75"/>
      <c r="E200" s="77" t="s">
        <v>278</v>
      </c>
      <c r="F200" s="81"/>
      <c r="G200" s="99">
        <v>80000</v>
      </c>
      <c r="H200" s="99">
        <v>80000</v>
      </c>
      <c r="I200" s="99">
        <v>80000</v>
      </c>
      <c r="J200" s="217">
        <f t="shared" si="4"/>
        <v>1</v>
      </c>
    </row>
    <row r="201" spans="1:10" s="34" customFormat="1" ht="15.75" customHeight="1">
      <c r="A201" s="218"/>
      <c r="B201" s="75"/>
      <c r="C201" s="75"/>
      <c r="D201" s="75"/>
      <c r="E201" s="77" t="s">
        <v>209</v>
      </c>
      <c r="F201" s="81"/>
      <c r="G201" s="99">
        <v>50000</v>
      </c>
      <c r="H201" s="99">
        <v>50000</v>
      </c>
      <c r="I201" s="99">
        <v>20000</v>
      </c>
      <c r="J201" s="217">
        <f t="shared" si="4"/>
        <v>0.4</v>
      </c>
    </row>
    <row r="202" spans="1:10" s="34" customFormat="1" ht="15.75" customHeight="1">
      <c r="A202" s="218"/>
      <c r="B202" s="75"/>
      <c r="C202" s="75" t="s">
        <v>212</v>
      </c>
      <c r="D202" s="75" t="s">
        <v>213</v>
      </c>
      <c r="E202" s="75"/>
      <c r="F202" s="81"/>
      <c r="G202" s="76">
        <v>35000</v>
      </c>
      <c r="H202" s="76">
        <v>35000</v>
      </c>
      <c r="I202" s="76">
        <v>2654</v>
      </c>
      <c r="J202" s="217">
        <f t="shared" si="4"/>
        <v>0.07582857142857143</v>
      </c>
    </row>
    <row r="203" spans="1:10" s="34" customFormat="1" ht="15.75" customHeight="1">
      <c r="A203" s="218"/>
      <c r="B203" s="75"/>
      <c r="C203" s="75" t="s">
        <v>214</v>
      </c>
      <c r="D203" s="75" t="s">
        <v>215</v>
      </c>
      <c r="E203" s="75"/>
      <c r="F203" s="81"/>
      <c r="G203" s="76">
        <v>100000</v>
      </c>
      <c r="H203" s="76">
        <v>164000</v>
      </c>
      <c r="I203" s="76">
        <v>163699</v>
      </c>
      <c r="J203" s="217">
        <f aca="true" t="shared" si="5" ref="J203:J266">I203/H203</f>
        <v>0.9981646341463415</v>
      </c>
    </row>
    <row r="204" spans="1:10" s="34" customFormat="1" ht="15.75" customHeight="1">
      <c r="A204" s="220"/>
      <c r="B204" s="72" t="s">
        <v>216</v>
      </c>
      <c r="C204" s="82"/>
      <c r="D204" s="72" t="s">
        <v>217</v>
      </c>
      <c r="E204" s="82"/>
      <c r="F204" s="81"/>
      <c r="G204" s="73">
        <f>G205+G206</f>
        <v>350000</v>
      </c>
      <c r="H204" s="73">
        <f>H205+H206</f>
        <v>120000</v>
      </c>
      <c r="I204" s="73">
        <f>I205+I206</f>
        <v>62451</v>
      </c>
      <c r="J204" s="217">
        <f t="shared" si="5"/>
        <v>0.520425</v>
      </c>
    </row>
    <row r="205" spans="1:10" s="34" customFormat="1" ht="15.75" customHeight="1">
      <c r="A205" s="218"/>
      <c r="B205" s="75"/>
      <c r="C205" s="75" t="s">
        <v>218</v>
      </c>
      <c r="D205" s="75" t="s">
        <v>219</v>
      </c>
      <c r="E205" s="75"/>
      <c r="F205" s="81"/>
      <c r="G205" s="76">
        <v>50000</v>
      </c>
      <c r="H205" s="76">
        <v>50000</v>
      </c>
      <c r="I205" s="76">
        <v>29451</v>
      </c>
      <c r="J205" s="217">
        <f t="shared" si="5"/>
        <v>0.58902</v>
      </c>
    </row>
    <row r="206" spans="1:10" s="34" customFormat="1" ht="15.75" customHeight="1">
      <c r="A206" s="218"/>
      <c r="B206" s="75"/>
      <c r="C206" s="75" t="s">
        <v>279</v>
      </c>
      <c r="D206" s="75" t="s">
        <v>280</v>
      </c>
      <c r="E206" s="75"/>
      <c r="F206" s="81"/>
      <c r="G206" s="76">
        <v>300000</v>
      </c>
      <c r="H206" s="76">
        <v>70000</v>
      </c>
      <c r="I206" s="76">
        <v>33000</v>
      </c>
      <c r="J206" s="217">
        <f t="shared" si="5"/>
        <v>0.4714285714285714</v>
      </c>
    </row>
    <row r="207" spans="1:10" s="34" customFormat="1" ht="15.75" customHeight="1">
      <c r="A207" s="220"/>
      <c r="B207" s="72" t="s">
        <v>221</v>
      </c>
      <c r="C207" s="82"/>
      <c r="D207" s="72" t="s">
        <v>222</v>
      </c>
      <c r="E207" s="82"/>
      <c r="F207" s="81"/>
      <c r="G207" s="73">
        <f>SUM(G208)</f>
        <v>300000</v>
      </c>
      <c r="H207" s="73">
        <f>SUM(H208)</f>
        <v>300000</v>
      </c>
      <c r="I207" s="73">
        <f>SUM(I208)</f>
        <v>193176</v>
      </c>
      <c r="J207" s="217">
        <f t="shared" si="5"/>
        <v>0.64392</v>
      </c>
    </row>
    <row r="208" spans="1:10" s="34" customFormat="1" ht="15.75" customHeight="1">
      <c r="A208" s="218"/>
      <c r="B208" s="75"/>
      <c r="C208" s="75" t="s">
        <v>223</v>
      </c>
      <c r="D208" s="75" t="s">
        <v>224</v>
      </c>
      <c r="E208" s="75"/>
      <c r="F208" s="81"/>
      <c r="G208" s="84">
        <v>300000</v>
      </c>
      <c r="H208" s="84">
        <v>300000</v>
      </c>
      <c r="I208" s="84">
        <v>193176</v>
      </c>
      <c r="J208" s="217">
        <f t="shared" si="5"/>
        <v>0.64392</v>
      </c>
    </row>
    <row r="209" spans="1:10" s="34" customFormat="1" ht="15.75" customHeight="1">
      <c r="A209" s="218"/>
      <c r="B209" s="75"/>
      <c r="C209" s="75"/>
      <c r="D209" s="75"/>
      <c r="E209" s="81"/>
      <c r="F209" s="81"/>
      <c r="G209" s="76"/>
      <c r="H209" s="159"/>
      <c r="I209" s="92"/>
      <c r="J209" s="217"/>
    </row>
    <row r="210" spans="1:10" ht="15.75" customHeight="1">
      <c r="A210" s="176" t="s">
        <v>281</v>
      </c>
      <c r="B210" s="88"/>
      <c r="C210" s="88"/>
      <c r="D210" s="88"/>
      <c r="E210" s="88"/>
      <c r="F210" s="88"/>
      <c r="G210" s="70">
        <f aca="true" t="shared" si="6" ref="G210:I211">G211</f>
        <v>2000000</v>
      </c>
      <c r="H210" s="70">
        <f t="shared" si="6"/>
        <v>2000000</v>
      </c>
      <c r="I210" s="70">
        <f t="shared" si="6"/>
        <v>0</v>
      </c>
      <c r="J210" s="192">
        <f t="shared" si="5"/>
        <v>0</v>
      </c>
    </row>
    <row r="211" spans="1:10" ht="15.75" customHeight="1">
      <c r="A211" s="216" t="s">
        <v>38</v>
      </c>
      <c r="B211" s="72"/>
      <c r="C211" s="72" t="s">
        <v>39</v>
      </c>
      <c r="D211" s="72"/>
      <c r="E211" s="72"/>
      <c r="F211" s="75"/>
      <c r="G211" s="73">
        <f t="shared" si="6"/>
        <v>2000000</v>
      </c>
      <c r="H211" s="73">
        <f t="shared" si="6"/>
        <v>2000000</v>
      </c>
      <c r="I211" s="73">
        <f t="shared" si="6"/>
        <v>0</v>
      </c>
      <c r="J211" s="217">
        <f t="shared" si="5"/>
        <v>0</v>
      </c>
    </row>
    <row r="212" spans="1:10" ht="15.75" customHeight="1">
      <c r="A212" s="218"/>
      <c r="B212" s="75" t="s">
        <v>282</v>
      </c>
      <c r="C212" s="75"/>
      <c r="D212" s="75" t="s">
        <v>283</v>
      </c>
      <c r="E212" s="75"/>
      <c r="F212" s="75"/>
      <c r="G212" s="76">
        <v>2000000</v>
      </c>
      <c r="H212" s="76">
        <v>2000000</v>
      </c>
      <c r="I212" s="76">
        <v>0</v>
      </c>
      <c r="J212" s="217">
        <f t="shared" si="5"/>
        <v>0</v>
      </c>
    </row>
    <row r="213" spans="1:10" ht="15.75" customHeight="1">
      <c r="A213" s="218"/>
      <c r="B213" s="75"/>
      <c r="C213" s="75"/>
      <c r="D213" s="75"/>
      <c r="E213" s="75"/>
      <c r="F213" s="75"/>
      <c r="G213" s="76"/>
      <c r="H213" s="65"/>
      <c r="I213" s="127"/>
      <c r="J213" s="217"/>
    </row>
    <row r="214" spans="1:10" ht="15.75" customHeight="1">
      <c r="A214" s="176" t="s">
        <v>425</v>
      </c>
      <c r="B214" s="88"/>
      <c r="C214" s="88"/>
      <c r="D214" s="88"/>
      <c r="E214" s="88"/>
      <c r="F214" s="88"/>
      <c r="G214" s="70">
        <f>SUM(G215)</f>
        <v>0</v>
      </c>
      <c r="H214" s="70">
        <f>SUM(H215)</f>
        <v>2979790</v>
      </c>
      <c r="I214" s="70">
        <f>SUM(I215)</f>
        <v>2979790</v>
      </c>
      <c r="J214" s="192">
        <f t="shared" si="5"/>
        <v>1</v>
      </c>
    </row>
    <row r="215" spans="1:10" ht="15.75" customHeight="1">
      <c r="A215" s="216" t="s">
        <v>34</v>
      </c>
      <c r="B215" s="75"/>
      <c r="C215" s="72" t="s">
        <v>35</v>
      </c>
      <c r="D215" s="75"/>
      <c r="E215" s="75"/>
      <c r="F215" s="75"/>
      <c r="G215" s="76"/>
      <c r="H215" s="65">
        <f>SUM(H216:H217)</f>
        <v>2979790</v>
      </c>
      <c r="I215" s="65">
        <f>SUM(I216:I217)</f>
        <v>2979790</v>
      </c>
      <c r="J215" s="217">
        <f t="shared" si="5"/>
        <v>1</v>
      </c>
    </row>
    <row r="216" spans="1:10" ht="15.75" customHeight="1">
      <c r="A216" s="218"/>
      <c r="B216" s="72" t="s">
        <v>386</v>
      </c>
      <c r="C216" s="75"/>
      <c r="D216" s="75" t="s">
        <v>426</v>
      </c>
      <c r="E216" s="75"/>
      <c r="F216" s="75"/>
      <c r="G216" s="76"/>
      <c r="H216" s="65">
        <v>2346292</v>
      </c>
      <c r="I216" s="65">
        <v>2346292</v>
      </c>
      <c r="J216" s="217">
        <f t="shared" si="5"/>
        <v>1</v>
      </c>
    </row>
    <row r="217" spans="1:10" ht="15.75" customHeight="1">
      <c r="A217" s="218"/>
      <c r="B217" s="72" t="s">
        <v>261</v>
      </c>
      <c r="C217" s="75"/>
      <c r="D217" s="75" t="s">
        <v>262</v>
      </c>
      <c r="E217" s="75"/>
      <c r="F217" s="75"/>
      <c r="G217" s="76"/>
      <c r="H217" s="65">
        <v>633498</v>
      </c>
      <c r="I217" s="65">
        <v>633498</v>
      </c>
      <c r="J217" s="217">
        <f t="shared" si="5"/>
        <v>1</v>
      </c>
    </row>
    <row r="218" spans="1:10" ht="15.75" customHeight="1">
      <c r="A218" s="218"/>
      <c r="B218" s="75"/>
      <c r="C218" s="75"/>
      <c r="D218" s="75"/>
      <c r="E218" s="75"/>
      <c r="F218" s="75"/>
      <c r="G218" s="76"/>
      <c r="H218" s="65"/>
      <c r="I218" s="127"/>
      <c r="J218" s="217"/>
    </row>
    <row r="219" spans="1:10" s="34" customFormat="1" ht="15.75" customHeight="1">
      <c r="A219" s="176" t="s">
        <v>284</v>
      </c>
      <c r="B219" s="88"/>
      <c r="C219" s="88"/>
      <c r="D219" s="88"/>
      <c r="E219" s="88"/>
      <c r="F219" s="88"/>
      <c r="G219" s="70">
        <f>SUM(G220)</f>
        <v>16500000</v>
      </c>
      <c r="H219" s="70">
        <f>SUM(H220)</f>
        <v>16500000</v>
      </c>
      <c r="I219" s="70">
        <f>SUM(I220)</f>
        <v>12081803</v>
      </c>
      <c r="J219" s="192">
        <f t="shared" si="5"/>
        <v>0.7322304848484849</v>
      </c>
    </row>
    <row r="220" spans="1:10" s="34" customFormat="1" ht="15.75" customHeight="1">
      <c r="A220" s="216" t="s">
        <v>27</v>
      </c>
      <c r="B220" s="72"/>
      <c r="C220" s="72" t="s">
        <v>28</v>
      </c>
      <c r="D220" s="72"/>
      <c r="E220" s="72"/>
      <c r="F220" s="81"/>
      <c r="G220" s="100">
        <f>G221+G225</f>
        <v>16500000</v>
      </c>
      <c r="H220" s="100">
        <f>H221+H225</f>
        <v>16500000</v>
      </c>
      <c r="I220" s="100">
        <f>I221+I225</f>
        <v>12081803</v>
      </c>
      <c r="J220" s="217">
        <f t="shared" si="5"/>
        <v>0.7322304848484849</v>
      </c>
    </row>
    <row r="221" spans="1:10" s="34" customFormat="1" ht="15.75" customHeight="1">
      <c r="A221" s="220"/>
      <c r="B221" s="72" t="s">
        <v>203</v>
      </c>
      <c r="C221" s="82"/>
      <c r="D221" s="72" t="s">
        <v>204</v>
      </c>
      <c r="E221" s="82"/>
      <c r="F221" s="81"/>
      <c r="G221" s="73">
        <f>G222+G224</f>
        <v>13000000</v>
      </c>
      <c r="H221" s="73">
        <f>H222+H224</f>
        <v>13000000</v>
      </c>
      <c r="I221" s="73">
        <f>I222+I224</f>
        <v>9610501</v>
      </c>
      <c r="J221" s="217">
        <f t="shared" si="5"/>
        <v>0.7392693076923077</v>
      </c>
    </row>
    <row r="222" spans="1:10" s="34" customFormat="1" ht="15.75" customHeight="1">
      <c r="A222" s="218"/>
      <c r="B222" s="75"/>
      <c r="C222" s="75" t="s">
        <v>205</v>
      </c>
      <c r="D222" s="75" t="s">
        <v>206</v>
      </c>
      <c r="E222" s="75"/>
      <c r="F222" s="81"/>
      <c r="G222" s="99">
        <f>G223</f>
        <v>9000000</v>
      </c>
      <c r="H222" s="99">
        <f>H223</f>
        <v>9610501</v>
      </c>
      <c r="I222" s="99">
        <v>9610501</v>
      </c>
      <c r="J222" s="217">
        <f t="shared" si="5"/>
        <v>1</v>
      </c>
    </row>
    <row r="223" spans="1:10" ht="15.75" customHeight="1">
      <c r="A223" s="218"/>
      <c r="B223" s="75"/>
      <c r="C223" s="75"/>
      <c r="D223" s="75"/>
      <c r="E223" s="77" t="s">
        <v>207</v>
      </c>
      <c r="F223" s="75"/>
      <c r="G223" s="101">
        <v>9000000</v>
      </c>
      <c r="H223" s="101">
        <v>9610501</v>
      </c>
      <c r="I223" s="101">
        <v>9610501</v>
      </c>
      <c r="J223" s="217">
        <f t="shared" si="5"/>
        <v>1</v>
      </c>
    </row>
    <row r="224" spans="1:10" ht="15.75" customHeight="1">
      <c r="A224" s="218"/>
      <c r="B224" s="75"/>
      <c r="C224" s="75" t="s">
        <v>212</v>
      </c>
      <c r="D224" s="75" t="s">
        <v>213</v>
      </c>
      <c r="E224" s="75"/>
      <c r="F224" s="75"/>
      <c r="G224" s="101">
        <v>4000000</v>
      </c>
      <c r="H224" s="101">
        <v>3389499</v>
      </c>
      <c r="I224" s="101">
        <v>0</v>
      </c>
      <c r="J224" s="217">
        <f t="shared" si="5"/>
        <v>0</v>
      </c>
    </row>
    <row r="225" spans="1:10" ht="15.75" customHeight="1">
      <c r="A225" s="220"/>
      <c r="B225" s="72" t="s">
        <v>221</v>
      </c>
      <c r="C225" s="82"/>
      <c r="D225" s="72" t="s">
        <v>222</v>
      </c>
      <c r="E225" s="82"/>
      <c r="F225" s="75"/>
      <c r="G225" s="102">
        <f>G226</f>
        <v>3500000</v>
      </c>
      <c r="H225" s="102">
        <f>H226</f>
        <v>3500000</v>
      </c>
      <c r="I225" s="102">
        <f>I226</f>
        <v>2471302</v>
      </c>
      <c r="J225" s="217">
        <f t="shared" si="5"/>
        <v>0.7060862857142857</v>
      </c>
    </row>
    <row r="226" spans="1:10" ht="15.75" customHeight="1">
      <c r="A226" s="218"/>
      <c r="B226" s="75"/>
      <c r="C226" s="75" t="s">
        <v>223</v>
      </c>
      <c r="D226" s="75" t="s">
        <v>224</v>
      </c>
      <c r="E226" s="75"/>
      <c r="F226" s="75"/>
      <c r="G226" s="103">
        <v>3500000</v>
      </c>
      <c r="H226" s="103">
        <v>3500000</v>
      </c>
      <c r="I226" s="103">
        <v>2471302</v>
      </c>
      <c r="J226" s="217">
        <f t="shared" si="5"/>
        <v>0.7060862857142857</v>
      </c>
    </row>
    <row r="227" spans="1:10" ht="15.75" customHeight="1">
      <c r="A227" s="218"/>
      <c r="B227" s="75"/>
      <c r="C227" s="75"/>
      <c r="D227" s="75"/>
      <c r="E227" s="77"/>
      <c r="F227" s="75"/>
      <c r="G227" s="104"/>
      <c r="H227" s="65"/>
      <c r="I227" s="127"/>
      <c r="J227" s="217"/>
    </row>
    <row r="228" spans="1:10" ht="15.75" customHeight="1">
      <c r="A228" s="176" t="s">
        <v>285</v>
      </c>
      <c r="B228" s="88"/>
      <c r="C228" s="88"/>
      <c r="D228" s="88"/>
      <c r="E228" s="88"/>
      <c r="F228" s="98">
        <v>1</v>
      </c>
      <c r="G228" s="91">
        <f>G229+G234+G237</f>
        <v>7495542</v>
      </c>
      <c r="H228" s="91">
        <f>H229+H234+H237</f>
        <v>7495542</v>
      </c>
      <c r="I228" s="91">
        <f>I229+I234+I237</f>
        <v>5671130</v>
      </c>
      <c r="J228" s="192">
        <f t="shared" si="5"/>
        <v>0.756600389938446</v>
      </c>
    </row>
    <row r="229" spans="1:10" ht="15.75" customHeight="1">
      <c r="A229" s="216" t="s">
        <v>23</v>
      </c>
      <c r="B229" s="72"/>
      <c r="C229" s="72" t="s">
        <v>169</v>
      </c>
      <c r="D229" s="72"/>
      <c r="E229" s="72"/>
      <c r="F229" s="72"/>
      <c r="G229" s="94">
        <f>SUM(G230)</f>
        <v>2469600</v>
      </c>
      <c r="H229" s="94">
        <f>SUM(H230)</f>
        <v>2469600</v>
      </c>
      <c r="I229" s="94">
        <f>SUM(I230)</f>
        <v>1935372</v>
      </c>
      <c r="J229" s="217">
        <f t="shared" si="5"/>
        <v>0.7836783284742468</v>
      </c>
    </row>
    <row r="230" spans="1:10" ht="15.75" customHeight="1">
      <c r="A230" s="218"/>
      <c r="B230" s="72" t="s">
        <v>170</v>
      </c>
      <c r="C230" s="75"/>
      <c r="D230" s="75" t="s">
        <v>171</v>
      </c>
      <c r="E230" s="75"/>
      <c r="F230" s="72"/>
      <c r="G230" s="92">
        <f>SUM(G231:G233)</f>
        <v>2469600</v>
      </c>
      <c r="H230" s="92">
        <f>SUM(H231:H233)</f>
        <v>2469600</v>
      </c>
      <c r="I230" s="92">
        <f>SUM(I231:I233)</f>
        <v>1935372</v>
      </c>
      <c r="J230" s="217">
        <f t="shared" si="5"/>
        <v>0.7836783284742468</v>
      </c>
    </row>
    <row r="231" spans="1:10" ht="15.75" customHeight="1">
      <c r="A231" s="219"/>
      <c r="B231" s="75"/>
      <c r="C231" s="75" t="s">
        <v>172</v>
      </c>
      <c r="D231" s="75" t="s">
        <v>173</v>
      </c>
      <c r="E231" s="75"/>
      <c r="F231" s="72"/>
      <c r="G231" s="92">
        <v>2235600</v>
      </c>
      <c r="H231" s="92">
        <v>2235600</v>
      </c>
      <c r="I231" s="92">
        <v>1850372</v>
      </c>
      <c r="J231" s="217">
        <f t="shared" si="5"/>
        <v>0.8276847378779746</v>
      </c>
    </row>
    <row r="232" spans="1:10" ht="15.75" customHeight="1">
      <c r="A232" s="219"/>
      <c r="B232" s="75"/>
      <c r="C232" s="75" t="s">
        <v>359</v>
      </c>
      <c r="D232" s="75" t="s">
        <v>391</v>
      </c>
      <c r="E232" s="75"/>
      <c r="F232" s="72"/>
      <c r="G232" s="92">
        <v>85000</v>
      </c>
      <c r="H232" s="92">
        <v>85000</v>
      </c>
      <c r="I232" s="92">
        <v>85000</v>
      </c>
      <c r="J232" s="217">
        <f t="shared" si="5"/>
        <v>1</v>
      </c>
    </row>
    <row r="233" spans="1:10" ht="15.75" customHeight="1">
      <c r="A233" s="219"/>
      <c r="B233" s="75"/>
      <c r="C233" s="75" t="s">
        <v>174</v>
      </c>
      <c r="D233" s="75" t="s">
        <v>175</v>
      </c>
      <c r="E233" s="75"/>
      <c r="F233" s="72"/>
      <c r="G233" s="92">
        <v>149000</v>
      </c>
      <c r="H233" s="92">
        <v>149000</v>
      </c>
      <c r="I233" s="92">
        <v>0</v>
      </c>
      <c r="J233" s="217">
        <f t="shared" si="5"/>
        <v>0</v>
      </c>
    </row>
    <row r="234" spans="1:10" ht="15.75" customHeight="1">
      <c r="A234" s="216" t="s">
        <v>25</v>
      </c>
      <c r="B234" s="72"/>
      <c r="C234" s="72" t="s">
        <v>186</v>
      </c>
      <c r="D234" s="79"/>
      <c r="E234" s="79"/>
      <c r="F234" s="72"/>
      <c r="G234" s="94">
        <f>SUM(G235:G236)</f>
        <v>475942</v>
      </c>
      <c r="H234" s="94">
        <f>SUM(H235:H236)</f>
        <v>475942</v>
      </c>
      <c r="I234" s="94">
        <f>SUM(I235:I236)</f>
        <v>345999</v>
      </c>
      <c r="J234" s="217">
        <f t="shared" si="5"/>
        <v>0.7269772367221216</v>
      </c>
    </row>
    <row r="235" spans="1:10" ht="15.75" customHeight="1">
      <c r="A235" s="218"/>
      <c r="B235" s="75"/>
      <c r="C235" s="75"/>
      <c r="D235" s="77" t="s">
        <v>187</v>
      </c>
      <c r="E235" s="75"/>
      <c r="F235" s="72"/>
      <c r="G235" s="92">
        <f>435942+17000</f>
        <v>452942</v>
      </c>
      <c r="H235" s="92">
        <f>435942+17000</f>
        <v>452942</v>
      </c>
      <c r="I235" s="92">
        <v>345999</v>
      </c>
      <c r="J235" s="217">
        <f t="shared" si="5"/>
        <v>0.7638925072084285</v>
      </c>
    </row>
    <row r="236" spans="1:10" ht="15.75" customHeight="1">
      <c r="A236" s="218"/>
      <c r="B236" s="75"/>
      <c r="C236" s="75"/>
      <c r="D236" s="77" t="s">
        <v>188</v>
      </c>
      <c r="E236" s="75"/>
      <c r="F236" s="72"/>
      <c r="G236" s="92">
        <v>23000</v>
      </c>
      <c r="H236" s="92">
        <v>23000</v>
      </c>
      <c r="I236" s="92">
        <v>0</v>
      </c>
      <c r="J236" s="217">
        <f t="shared" si="5"/>
        <v>0</v>
      </c>
    </row>
    <row r="237" spans="1:10" ht="15.75" customHeight="1">
      <c r="A237" s="216" t="s">
        <v>27</v>
      </c>
      <c r="B237" s="72"/>
      <c r="C237" s="72" t="s">
        <v>28</v>
      </c>
      <c r="D237" s="72"/>
      <c r="E237" s="72"/>
      <c r="F237" s="75"/>
      <c r="G237" s="105">
        <f>G238+G241+G244</f>
        <v>4550000</v>
      </c>
      <c r="H237" s="105">
        <f>H238+H241+H244</f>
        <v>4550000</v>
      </c>
      <c r="I237" s="105">
        <f>I238+I241+I244</f>
        <v>3389759</v>
      </c>
      <c r="J237" s="217">
        <f t="shared" si="5"/>
        <v>0.745001978021978</v>
      </c>
    </row>
    <row r="238" spans="1:10" ht="15.75" customHeight="1">
      <c r="A238" s="220"/>
      <c r="B238" s="72" t="s">
        <v>189</v>
      </c>
      <c r="C238" s="82"/>
      <c r="D238" s="72" t="s">
        <v>190</v>
      </c>
      <c r="E238" s="83"/>
      <c r="F238" s="75"/>
      <c r="G238" s="106">
        <f>G239+G240</f>
        <v>2300000</v>
      </c>
      <c r="H238" s="106">
        <f>H239+H240</f>
        <v>2300000</v>
      </c>
      <c r="I238" s="106">
        <f>I239+I240</f>
        <v>2082274</v>
      </c>
      <c r="J238" s="217">
        <f t="shared" si="5"/>
        <v>0.9053365217391305</v>
      </c>
    </row>
    <row r="239" spans="1:10" ht="15.75" customHeight="1">
      <c r="A239" s="218"/>
      <c r="B239" s="75"/>
      <c r="C239" s="75" t="s">
        <v>191</v>
      </c>
      <c r="D239" s="75" t="s">
        <v>192</v>
      </c>
      <c r="E239" s="81"/>
      <c r="F239" s="75"/>
      <c r="G239" s="107">
        <v>100000</v>
      </c>
      <c r="H239" s="107">
        <v>100000</v>
      </c>
      <c r="I239" s="107">
        <v>0</v>
      </c>
      <c r="J239" s="217">
        <f t="shared" si="5"/>
        <v>0</v>
      </c>
    </row>
    <row r="240" spans="1:10" ht="15.75" customHeight="1">
      <c r="A240" s="218"/>
      <c r="B240" s="75"/>
      <c r="C240" s="75" t="s">
        <v>194</v>
      </c>
      <c r="D240" s="75" t="s">
        <v>195</v>
      </c>
      <c r="E240" s="75"/>
      <c r="F240" s="75"/>
      <c r="G240" s="99">
        <v>2200000</v>
      </c>
      <c r="H240" s="99">
        <v>2200000</v>
      </c>
      <c r="I240" s="99">
        <v>2082274</v>
      </c>
      <c r="J240" s="217">
        <f t="shared" si="5"/>
        <v>0.9464881818181818</v>
      </c>
    </row>
    <row r="241" spans="1:10" ht="15.75" customHeight="1">
      <c r="A241" s="220"/>
      <c r="B241" s="72" t="s">
        <v>203</v>
      </c>
      <c r="C241" s="82"/>
      <c r="D241" s="72" t="s">
        <v>204</v>
      </c>
      <c r="E241" s="82"/>
      <c r="F241" s="75"/>
      <c r="G241" s="105">
        <f>G242+G243</f>
        <v>1350000</v>
      </c>
      <c r="H241" s="105">
        <f>H242+H243</f>
        <v>1350000</v>
      </c>
      <c r="I241" s="105">
        <f>I242+I243</f>
        <v>739340</v>
      </c>
      <c r="J241" s="217">
        <f t="shared" si="5"/>
        <v>0.5476592592592593</v>
      </c>
    </row>
    <row r="242" spans="1:10" ht="15.75" customHeight="1">
      <c r="A242" s="218"/>
      <c r="B242" s="75"/>
      <c r="C242" s="75" t="s">
        <v>212</v>
      </c>
      <c r="D242" s="75" t="s">
        <v>213</v>
      </c>
      <c r="E242" s="75"/>
      <c r="F242" s="75"/>
      <c r="G242" s="99">
        <v>150000</v>
      </c>
      <c r="H242" s="99">
        <v>150000</v>
      </c>
      <c r="I242" s="99">
        <v>98000</v>
      </c>
      <c r="J242" s="217">
        <f t="shared" si="5"/>
        <v>0.6533333333333333</v>
      </c>
    </row>
    <row r="243" spans="1:10" ht="15.75" customHeight="1">
      <c r="A243" s="218"/>
      <c r="B243" s="75"/>
      <c r="C243" s="75" t="s">
        <v>214</v>
      </c>
      <c r="D243" s="75" t="s">
        <v>215</v>
      </c>
      <c r="E243" s="75"/>
      <c r="F243" s="75"/>
      <c r="G243" s="99">
        <v>1200000</v>
      </c>
      <c r="H243" s="99">
        <v>1200000</v>
      </c>
      <c r="I243" s="99">
        <v>641340</v>
      </c>
      <c r="J243" s="217">
        <f t="shared" si="5"/>
        <v>0.53445</v>
      </c>
    </row>
    <row r="244" spans="1:10" ht="15.75" customHeight="1">
      <c r="A244" s="220"/>
      <c r="B244" s="72" t="s">
        <v>221</v>
      </c>
      <c r="C244" s="82"/>
      <c r="D244" s="72" t="s">
        <v>222</v>
      </c>
      <c r="E244" s="82"/>
      <c r="F244" s="75"/>
      <c r="G244" s="106">
        <f>G245</f>
        <v>900000</v>
      </c>
      <c r="H244" s="106">
        <f>H245</f>
        <v>900000</v>
      </c>
      <c r="I244" s="106">
        <f>I245</f>
        <v>568145</v>
      </c>
      <c r="J244" s="217">
        <f t="shared" si="5"/>
        <v>0.6312722222222222</v>
      </c>
    </row>
    <row r="245" spans="1:10" ht="15.75" customHeight="1">
      <c r="A245" s="218"/>
      <c r="B245" s="75"/>
      <c r="C245" s="75" t="s">
        <v>223</v>
      </c>
      <c r="D245" s="75" t="s">
        <v>224</v>
      </c>
      <c r="E245" s="75"/>
      <c r="F245" s="75"/>
      <c r="G245" s="107">
        <v>900000</v>
      </c>
      <c r="H245" s="107">
        <v>900000</v>
      </c>
      <c r="I245" s="107">
        <v>568145</v>
      </c>
      <c r="J245" s="217">
        <f t="shared" si="5"/>
        <v>0.6312722222222222</v>
      </c>
    </row>
    <row r="246" spans="1:10" ht="15.75" customHeight="1">
      <c r="A246" s="218"/>
      <c r="B246" s="75"/>
      <c r="C246" s="75"/>
      <c r="D246" s="77"/>
      <c r="E246" s="77"/>
      <c r="F246" s="75"/>
      <c r="G246" s="107"/>
      <c r="H246" s="65"/>
      <c r="I246" s="127"/>
      <c r="J246" s="217"/>
    </row>
    <row r="247" spans="1:10" ht="15.75" customHeight="1">
      <c r="A247" s="176" t="s">
        <v>121</v>
      </c>
      <c r="B247" s="88"/>
      <c r="C247" s="88"/>
      <c r="D247" s="88"/>
      <c r="E247" s="88"/>
      <c r="F247" s="98">
        <v>13</v>
      </c>
      <c r="G247" s="108">
        <f>G248+G259+G262+G281+G285</f>
        <v>110075470</v>
      </c>
      <c r="H247" s="108">
        <f>H248+H259+H262+H281+H285</f>
        <v>127758809</v>
      </c>
      <c r="I247" s="108">
        <f>I248+I259+I262+I281+I285</f>
        <v>124380538</v>
      </c>
      <c r="J247" s="192">
        <f t="shared" si="5"/>
        <v>0.9735574319575881</v>
      </c>
    </row>
    <row r="248" spans="1:10" ht="15.75" customHeight="1">
      <c r="A248" s="216" t="s">
        <v>23</v>
      </c>
      <c r="B248" s="72"/>
      <c r="C248" s="72" t="s">
        <v>169</v>
      </c>
      <c r="D248" s="72"/>
      <c r="E248" s="72"/>
      <c r="F248" s="109"/>
      <c r="G248" s="94">
        <f>G249+G256</f>
        <v>40915000</v>
      </c>
      <c r="H248" s="94">
        <f>H249+H256</f>
        <v>41832735</v>
      </c>
      <c r="I248" s="94">
        <f>I249+I256</f>
        <v>41358796</v>
      </c>
      <c r="J248" s="217">
        <f t="shared" si="5"/>
        <v>0.9886706188347475</v>
      </c>
    </row>
    <row r="249" spans="1:10" ht="15.75" customHeight="1">
      <c r="A249" s="218"/>
      <c r="B249" s="72" t="s">
        <v>170</v>
      </c>
      <c r="C249" s="72"/>
      <c r="D249" s="72" t="s">
        <v>171</v>
      </c>
      <c r="E249" s="72"/>
      <c r="F249" s="75"/>
      <c r="G249" s="94">
        <f>SUM(G250:G254)</f>
        <v>35515000</v>
      </c>
      <c r="H249" s="94">
        <f>SUM(H250:H255)</f>
        <v>37288836</v>
      </c>
      <c r="I249" s="94">
        <f>SUM(I250:I255)</f>
        <v>37089661</v>
      </c>
      <c r="J249" s="217">
        <f t="shared" si="5"/>
        <v>0.9946585889674862</v>
      </c>
    </row>
    <row r="250" spans="1:10" ht="15.75" customHeight="1">
      <c r="A250" s="219"/>
      <c r="B250" s="75"/>
      <c r="C250" s="75" t="s">
        <v>172</v>
      </c>
      <c r="D250" s="75" t="s">
        <v>173</v>
      </c>
      <c r="E250" s="75"/>
      <c r="F250" s="75"/>
      <c r="G250" s="93">
        <v>29500000</v>
      </c>
      <c r="H250" s="93">
        <v>30425900</v>
      </c>
      <c r="I250" s="93">
        <v>30425900</v>
      </c>
      <c r="J250" s="217">
        <f t="shared" si="5"/>
        <v>1</v>
      </c>
    </row>
    <row r="251" spans="1:10" ht="15.75" customHeight="1">
      <c r="A251" s="219"/>
      <c r="B251" s="75"/>
      <c r="C251" s="75" t="s">
        <v>359</v>
      </c>
      <c r="D251" s="75" t="s">
        <v>391</v>
      </c>
      <c r="E251" s="75"/>
      <c r="F251" s="75"/>
      <c r="G251" s="93">
        <v>3000000</v>
      </c>
      <c r="H251" s="93">
        <v>1535369</v>
      </c>
      <c r="I251" s="93">
        <v>1485954</v>
      </c>
      <c r="J251" s="217">
        <f t="shared" si="5"/>
        <v>0.967815554436751</v>
      </c>
    </row>
    <row r="252" spans="1:10" ht="15.75" customHeight="1">
      <c r="A252" s="219"/>
      <c r="B252" s="75"/>
      <c r="C252" s="75" t="s">
        <v>266</v>
      </c>
      <c r="D252" s="75" t="s">
        <v>267</v>
      </c>
      <c r="E252" s="75"/>
      <c r="F252" s="75"/>
      <c r="G252" s="92">
        <v>1000000</v>
      </c>
      <c r="H252" s="92">
        <v>2336942</v>
      </c>
      <c r="I252" s="92">
        <v>2336942</v>
      </c>
      <c r="J252" s="217">
        <f t="shared" si="5"/>
        <v>1</v>
      </c>
    </row>
    <row r="253" spans="1:10" ht="15.75" customHeight="1">
      <c r="A253" s="218"/>
      <c r="B253" s="75"/>
      <c r="C253" s="75" t="s">
        <v>174</v>
      </c>
      <c r="D253" s="75" t="s">
        <v>175</v>
      </c>
      <c r="E253" s="75"/>
      <c r="F253" s="75"/>
      <c r="G253" s="92">
        <v>1937000</v>
      </c>
      <c r="H253" s="92">
        <v>2125157</v>
      </c>
      <c r="I253" s="92">
        <f>2125157-149000</f>
        <v>1976157</v>
      </c>
      <c r="J253" s="217">
        <f t="shared" si="5"/>
        <v>0.9298875330152078</v>
      </c>
    </row>
    <row r="254" spans="1:10" ht="15.75" customHeight="1">
      <c r="A254" s="218"/>
      <c r="B254" s="75"/>
      <c r="C254" s="75" t="s">
        <v>286</v>
      </c>
      <c r="D254" s="75" t="s">
        <v>287</v>
      </c>
      <c r="E254" s="75"/>
      <c r="F254" s="75"/>
      <c r="G254" s="92">
        <v>78000</v>
      </c>
      <c r="H254" s="92">
        <v>78000</v>
      </c>
      <c r="I254" s="92">
        <v>77220</v>
      </c>
      <c r="J254" s="217">
        <f t="shared" si="5"/>
        <v>0.99</v>
      </c>
    </row>
    <row r="255" spans="1:10" ht="15.75" customHeight="1">
      <c r="A255" s="218"/>
      <c r="B255" s="75"/>
      <c r="C255" s="75" t="s">
        <v>254</v>
      </c>
      <c r="D255" s="75" t="s">
        <v>447</v>
      </c>
      <c r="E255" s="75"/>
      <c r="F255" s="75"/>
      <c r="G255" s="92"/>
      <c r="H255" s="92">
        <v>787468</v>
      </c>
      <c r="I255" s="92">
        <v>787488</v>
      </c>
      <c r="J255" s="217">
        <f t="shared" si="5"/>
        <v>1.0000253978574367</v>
      </c>
    </row>
    <row r="256" spans="1:10" ht="15.75" customHeight="1">
      <c r="A256" s="218"/>
      <c r="B256" s="72" t="s">
        <v>176</v>
      </c>
      <c r="C256" s="72"/>
      <c r="D256" s="72" t="s">
        <v>177</v>
      </c>
      <c r="E256" s="72"/>
      <c r="F256" s="72"/>
      <c r="G256" s="94">
        <f>G257+G258</f>
        <v>5400000</v>
      </c>
      <c r="H256" s="94">
        <f>H257+H258</f>
        <v>4543899</v>
      </c>
      <c r="I256" s="94">
        <f>I257+I258</f>
        <v>4269135</v>
      </c>
      <c r="J256" s="217">
        <f t="shared" si="5"/>
        <v>0.9395312263762905</v>
      </c>
    </row>
    <row r="257" spans="1:10" ht="15.75" customHeight="1">
      <c r="A257" s="218"/>
      <c r="B257" s="75"/>
      <c r="C257" s="75" t="s">
        <v>288</v>
      </c>
      <c r="D257" s="75" t="s">
        <v>289</v>
      </c>
      <c r="E257" s="75"/>
      <c r="F257" s="75"/>
      <c r="G257" s="92">
        <v>5000000</v>
      </c>
      <c r="H257" s="92">
        <v>4000000</v>
      </c>
      <c r="I257" s="92">
        <v>3725236</v>
      </c>
      <c r="J257" s="217">
        <f t="shared" si="5"/>
        <v>0.931309</v>
      </c>
    </row>
    <row r="258" spans="1:10" ht="15.75" customHeight="1">
      <c r="A258" s="218"/>
      <c r="B258" s="75"/>
      <c r="C258" s="75" t="s">
        <v>184</v>
      </c>
      <c r="D258" s="75" t="s">
        <v>185</v>
      </c>
      <c r="E258" s="75"/>
      <c r="F258" s="75"/>
      <c r="G258" s="92">
        <v>400000</v>
      </c>
      <c r="H258" s="92">
        <v>543899</v>
      </c>
      <c r="I258" s="92">
        <v>543899</v>
      </c>
      <c r="J258" s="217">
        <f t="shared" si="5"/>
        <v>1</v>
      </c>
    </row>
    <row r="259" spans="1:10" ht="15.75" customHeight="1">
      <c r="A259" s="216" t="s">
        <v>25</v>
      </c>
      <c r="B259" s="72"/>
      <c r="C259" s="72" t="s">
        <v>186</v>
      </c>
      <c r="D259" s="79"/>
      <c r="E259" s="79"/>
      <c r="F259" s="75"/>
      <c r="G259" s="94">
        <f>SUM(G260:G261)</f>
        <v>8875550</v>
      </c>
      <c r="H259" s="94">
        <f>SUM(H260:H261)</f>
        <v>8675550</v>
      </c>
      <c r="I259" s="94">
        <f>SUM(I260:I261)</f>
        <v>7890677</v>
      </c>
      <c r="J259" s="217">
        <f t="shared" si="5"/>
        <v>0.909530462045634</v>
      </c>
    </row>
    <row r="260" spans="1:10" ht="15.75" customHeight="1">
      <c r="A260" s="218"/>
      <c r="B260" s="75"/>
      <c r="C260" s="75" t="s">
        <v>268</v>
      </c>
      <c r="D260" s="77" t="s">
        <v>187</v>
      </c>
      <c r="E260" s="75"/>
      <c r="F260" s="75"/>
      <c r="G260" s="93">
        <f>8000000+390000+195000</f>
        <v>8585000</v>
      </c>
      <c r="H260" s="93">
        <v>8385000</v>
      </c>
      <c r="I260" s="93">
        <f>7638609-77198</f>
        <v>7561411</v>
      </c>
      <c r="J260" s="217">
        <f t="shared" si="5"/>
        <v>0.9017782945736434</v>
      </c>
    </row>
    <row r="261" spans="1:10" ht="15.75" customHeight="1">
      <c r="A261" s="218"/>
      <c r="B261" s="75"/>
      <c r="C261" s="75" t="s">
        <v>290</v>
      </c>
      <c r="D261" s="77" t="s">
        <v>188</v>
      </c>
      <c r="E261" s="75"/>
      <c r="F261" s="75"/>
      <c r="G261" s="92">
        <v>290550</v>
      </c>
      <c r="H261" s="92">
        <v>290550</v>
      </c>
      <c r="I261" s="92">
        <v>329266</v>
      </c>
      <c r="J261" s="217">
        <f t="shared" si="5"/>
        <v>1.1332507313715368</v>
      </c>
    </row>
    <row r="262" spans="1:10" ht="15.75" customHeight="1">
      <c r="A262" s="216" t="s">
        <v>27</v>
      </c>
      <c r="B262" s="72"/>
      <c r="C262" s="72" t="s">
        <v>28</v>
      </c>
      <c r="D262" s="72"/>
      <c r="E262" s="72"/>
      <c r="F262" s="75"/>
      <c r="G262" s="94">
        <f>G263+G266+G269+G279</f>
        <v>28284920</v>
      </c>
      <c r="H262" s="94">
        <f>H263+H266+H269+H279</f>
        <v>28430227</v>
      </c>
      <c r="I262" s="94">
        <f>I263+I266+I269+I279+I277</f>
        <v>26330251</v>
      </c>
      <c r="J262" s="217">
        <f t="shared" si="5"/>
        <v>0.9261357990564058</v>
      </c>
    </row>
    <row r="263" spans="1:10" ht="15.75" customHeight="1">
      <c r="A263" s="220"/>
      <c r="B263" s="72" t="s">
        <v>189</v>
      </c>
      <c r="C263" s="82"/>
      <c r="D263" s="72" t="s">
        <v>190</v>
      </c>
      <c r="E263" s="83"/>
      <c r="F263" s="75"/>
      <c r="G263" s="94">
        <f>G264+G265</f>
        <v>6184920</v>
      </c>
      <c r="H263" s="94">
        <f>H264+H265</f>
        <v>6184920</v>
      </c>
      <c r="I263" s="94">
        <f>I264+I265</f>
        <v>5828326</v>
      </c>
      <c r="J263" s="217">
        <f t="shared" si="5"/>
        <v>0.9423446059124451</v>
      </c>
    </row>
    <row r="264" spans="1:10" ht="15.75" customHeight="1">
      <c r="A264" s="218"/>
      <c r="B264" s="75"/>
      <c r="C264" s="75" t="s">
        <v>191</v>
      </c>
      <c r="D264" s="75" t="s">
        <v>192</v>
      </c>
      <c r="E264" s="81"/>
      <c r="F264" s="75"/>
      <c r="G264" s="92">
        <v>600000</v>
      </c>
      <c r="H264" s="92">
        <v>600000</v>
      </c>
      <c r="I264" s="92">
        <v>215800</v>
      </c>
      <c r="J264" s="217">
        <f t="shared" si="5"/>
        <v>0.3596666666666667</v>
      </c>
    </row>
    <row r="265" spans="1:10" ht="15.75" customHeight="1">
      <c r="A265" s="218"/>
      <c r="B265" s="75"/>
      <c r="C265" s="75" t="s">
        <v>194</v>
      </c>
      <c r="D265" s="75" t="s">
        <v>195</v>
      </c>
      <c r="E265" s="75"/>
      <c r="F265" s="75"/>
      <c r="G265" s="92">
        <v>5584920</v>
      </c>
      <c r="H265" s="92">
        <v>5584920</v>
      </c>
      <c r="I265" s="92">
        <v>5612526</v>
      </c>
      <c r="J265" s="217">
        <f t="shared" si="5"/>
        <v>1.004942953524849</v>
      </c>
    </row>
    <row r="266" spans="1:10" ht="15.75" customHeight="1">
      <c r="A266" s="220"/>
      <c r="B266" s="72" t="s">
        <v>197</v>
      </c>
      <c r="C266" s="82"/>
      <c r="D266" s="72" t="s">
        <v>198</v>
      </c>
      <c r="E266" s="82"/>
      <c r="F266" s="75"/>
      <c r="G266" s="94">
        <f>G267+G268</f>
        <v>1000000</v>
      </c>
      <c r="H266" s="94">
        <f>H267+H268</f>
        <v>1000000</v>
      </c>
      <c r="I266" s="94">
        <f>I267+I268</f>
        <v>904166</v>
      </c>
      <c r="J266" s="217">
        <f t="shared" si="5"/>
        <v>0.904166</v>
      </c>
    </row>
    <row r="267" spans="1:10" ht="15.75" customHeight="1">
      <c r="A267" s="218"/>
      <c r="B267" s="75"/>
      <c r="C267" s="75" t="s">
        <v>199</v>
      </c>
      <c r="D267" s="75" t="s">
        <v>200</v>
      </c>
      <c r="E267" s="75"/>
      <c r="F267" s="75"/>
      <c r="G267" s="92">
        <v>550000</v>
      </c>
      <c r="H267" s="92">
        <v>589643</v>
      </c>
      <c r="I267" s="92">
        <v>589643</v>
      </c>
      <c r="J267" s="217">
        <f aca="true" t="shared" si="7" ref="J267:J332">I267/H267</f>
        <v>1</v>
      </c>
    </row>
    <row r="268" spans="1:10" ht="15.75" customHeight="1">
      <c r="A268" s="218"/>
      <c r="B268" s="75"/>
      <c r="C268" s="75" t="s">
        <v>201</v>
      </c>
      <c r="D268" s="75" t="s">
        <v>202</v>
      </c>
      <c r="E268" s="75"/>
      <c r="F268" s="75"/>
      <c r="G268" s="92">
        <v>450000</v>
      </c>
      <c r="H268" s="92">
        <v>410357</v>
      </c>
      <c r="I268" s="92">
        <v>314523</v>
      </c>
      <c r="J268" s="217">
        <f t="shared" si="7"/>
        <v>0.7664618856264179</v>
      </c>
    </row>
    <row r="269" spans="1:10" ht="15.75" customHeight="1">
      <c r="A269" s="220"/>
      <c r="B269" s="72" t="s">
        <v>203</v>
      </c>
      <c r="C269" s="82"/>
      <c r="D269" s="72" t="s">
        <v>204</v>
      </c>
      <c r="E269" s="82"/>
      <c r="F269" s="75"/>
      <c r="G269" s="94">
        <f>G270+G275+G276</f>
        <v>16500000</v>
      </c>
      <c r="H269" s="94">
        <f>H270+H275+H276+H274</f>
        <v>16500000</v>
      </c>
      <c r="I269" s="94">
        <f>I270+I275+I276+I274</f>
        <v>14845600</v>
      </c>
      <c r="J269" s="217">
        <f t="shared" si="7"/>
        <v>0.8997333333333334</v>
      </c>
    </row>
    <row r="270" spans="1:10" ht="15.75" customHeight="1">
      <c r="A270" s="218"/>
      <c r="B270" s="75"/>
      <c r="C270" s="75" t="s">
        <v>205</v>
      </c>
      <c r="D270" s="75" t="s">
        <v>206</v>
      </c>
      <c r="E270" s="75"/>
      <c r="F270" s="75"/>
      <c r="G270" s="92">
        <f>SUM(G271:G273)</f>
        <v>3500000</v>
      </c>
      <c r="H270" s="92">
        <f>SUM(H271:H273)</f>
        <v>3500000</v>
      </c>
      <c r="I270" s="92">
        <f>SUM(I271:I273)</f>
        <v>2763163</v>
      </c>
      <c r="J270" s="217">
        <f t="shared" si="7"/>
        <v>0.7894751428571428</v>
      </c>
    </row>
    <row r="271" spans="1:10" ht="15.75" customHeight="1">
      <c r="A271" s="218"/>
      <c r="B271" s="75"/>
      <c r="C271" s="75"/>
      <c r="D271" s="75"/>
      <c r="E271" s="77" t="s">
        <v>207</v>
      </c>
      <c r="F271" s="75"/>
      <c r="G271" s="92">
        <v>1500000</v>
      </c>
      <c r="H271" s="92">
        <v>1500000</v>
      </c>
      <c r="I271" s="92">
        <v>963163</v>
      </c>
      <c r="J271" s="217">
        <f t="shared" si="7"/>
        <v>0.6421086666666667</v>
      </c>
    </row>
    <row r="272" spans="1:10" ht="15.75" customHeight="1">
      <c r="A272" s="218"/>
      <c r="B272" s="75"/>
      <c r="C272" s="75"/>
      <c r="D272" s="75"/>
      <c r="E272" s="77" t="s">
        <v>208</v>
      </c>
      <c r="F272" s="75"/>
      <c r="G272" s="92">
        <v>1000000</v>
      </c>
      <c r="H272" s="92">
        <v>1000000</v>
      </c>
      <c r="I272" s="92">
        <v>800000</v>
      </c>
      <c r="J272" s="217">
        <f t="shared" si="7"/>
        <v>0.8</v>
      </c>
    </row>
    <row r="273" spans="1:10" ht="15.75" customHeight="1">
      <c r="A273" s="218"/>
      <c r="B273" s="75"/>
      <c r="C273" s="75"/>
      <c r="D273" s="75"/>
      <c r="E273" s="77" t="s">
        <v>209</v>
      </c>
      <c r="F273" s="75"/>
      <c r="G273" s="92">
        <v>1000000</v>
      </c>
      <c r="H273" s="92">
        <v>1000000</v>
      </c>
      <c r="I273" s="92">
        <v>1000000</v>
      </c>
      <c r="J273" s="217">
        <f t="shared" si="7"/>
        <v>1</v>
      </c>
    </row>
    <row r="274" spans="1:10" ht="15.75" customHeight="1">
      <c r="A274" s="218"/>
      <c r="B274" s="75"/>
      <c r="C274" s="75" t="s">
        <v>210</v>
      </c>
      <c r="D274" s="75" t="s">
        <v>211</v>
      </c>
      <c r="E274" s="75"/>
      <c r="F274" s="75"/>
      <c r="G274" s="92"/>
      <c r="H274" s="92">
        <v>758600</v>
      </c>
      <c r="I274" s="92">
        <v>758600</v>
      </c>
      <c r="J274" s="217">
        <f t="shared" si="7"/>
        <v>1</v>
      </c>
    </row>
    <row r="275" spans="1:10" ht="15.75" customHeight="1">
      <c r="A275" s="218"/>
      <c r="B275" s="75"/>
      <c r="C275" s="75" t="s">
        <v>212</v>
      </c>
      <c r="D275" s="75" t="s">
        <v>213</v>
      </c>
      <c r="E275" s="75"/>
      <c r="F275" s="75"/>
      <c r="G275" s="92">
        <v>4500000</v>
      </c>
      <c r="H275" s="92">
        <v>4500000</v>
      </c>
      <c r="I275" s="92">
        <v>3877529</v>
      </c>
      <c r="J275" s="217">
        <f t="shared" si="7"/>
        <v>0.8616731111111111</v>
      </c>
    </row>
    <row r="276" spans="1:10" ht="15.75" customHeight="1">
      <c r="A276" s="218"/>
      <c r="B276" s="75"/>
      <c r="C276" s="75" t="s">
        <v>214</v>
      </c>
      <c r="D276" s="75" t="s">
        <v>215</v>
      </c>
      <c r="E276" s="75"/>
      <c r="F276" s="75"/>
      <c r="G276" s="92">
        <v>8500000</v>
      </c>
      <c r="H276" s="92">
        <v>7741400</v>
      </c>
      <c r="I276" s="92">
        <v>7446308</v>
      </c>
      <c r="J276" s="217">
        <f t="shared" si="7"/>
        <v>0.9618813134575142</v>
      </c>
    </row>
    <row r="277" spans="1:10" ht="15.75" customHeight="1">
      <c r="A277" s="218"/>
      <c r="B277" s="72" t="s">
        <v>216</v>
      </c>
      <c r="C277" s="82"/>
      <c r="D277" s="72" t="s">
        <v>217</v>
      </c>
      <c r="E277" s="75"/>
      <c r="F277" s="75"/>
      <c r="G277" s="94">
        <f>SUM(G278)</f>
        <v>0</v>
      </c>
      <c r="H277" s="94">
        <f>SUM(H278)</f>
        <v>0</v>
      </c>
      <c r="I277" s="94">
        <f>SUM(I278)</f>
        <v>6849</v>
      </c>
      <c r="J277" s="217"/>
    </row>
    <row r="278" spans="1:10" ht="15.75" customHeight="1">
      <c r="A278" s="218"/>
      <c r="B278" s="75"/>
      <c r="C278" s="75" t="s">
        <v>218</v>
      </c>
      <c r="D278" s="75" t="s">
        <v>219</v>
      </c>
      <c r="E278" s="75"/>
      <c r="F278" s="75"/>
      <c r="G278" s="92">
        <v>0</v>
      </c>
      <c r="H278" s="92">
        <v>0</v>
      </c>
      <c r="I278" s="92">
        <v>6849</v>
      </c>
      <c r="J278" s="217"/>
    </row>
    <row r="279" spans="1:10" ht="15.75" customHeight="1">
      <c r="A279" s="220"/>
      <c r="B279" s="72" t="s">
        <v>221</v>
      </c>
      <c r="C279" s="82"/>
      <c r="D279" s="72" t="s">
        <v>222</v>
      </c>
      <c r="E279" s="82"/>
      <c r="F279" s="75"/>
      <c r="G279" s="94">
        <v>4600000</v>
      </c>
      <c r="H279" s="94">
        <v>4745307</v>
      </c>
      <c r="I279" s="94">
        <f>SUM(I280)</f>
        <v>4745310</v>
      </c>
      <c r="J279" s="217">
        <f t="shared" si="7"/>
        <v>1.0000006322035644</v>
      </c>
    </row>
    <row r="280" spans="1:10" ht="15.75" customHeight="1">
      <c r="A280" s="218"/>
      <c r="B280" s="75"/>
      <c r="C280" s="75" t="s">
        <v>223</v>
      </c>
      <c r="D280" s="75" t="s">
        <v>224</v>
      </c>
      <c r="E280" s="75"/>
      <c r="F280" s="75"/>
      <c r="G280" s="93">
        <v>4600000</v>
      </c>
      <c r="H280" s="93">
        <v>4745307</v>
      </c>
      <c r="I280" s="93">
        <v>4745310</v>
      </c>
      <c r="J280" s="217">
        <f t="shared" si="7"/>
        <v>1.0000006322035644</v>
      </c>
    </row>
    <row r="281" spans="1:10" ht="15.75" customHeight="1">
      <c r="A281" s="221" t="s">
        <v>34</v>
      </c>
      <c r="B281" s="75"/>
      <c r="C281" s="72" t="s">
        <v>35</v>
      </c>
      <c r="D281" s="75"/>
      <c r="E281" s="75"/>
      <c r="F281" s="75"/>
      <c r="G281" s="94">
        <f>SUM(G282:G284)</f>
        <v>22000000</v>
      </c>
      <c r="H281" s="94">
        <f>SUM(H282:H284)</f>
        <v>18382911</v>
      </c>
      <c r="I281" s="94">
        <f>SUM(I282:I284)</f>
        <v>18363428</v>
      </c>
      <c r="J281" s="217">
        <f t="shared" si="7"/>
        <v>0.9989401569751385</v>
      </c>
    </row>
    <row r="282" spans="1:10" ht="15.75" customHeight="1">
      <c r="A282" s="218"/>
      <c r="B282" s="72" t="s">
        <v>260</v>
      </c>
      <c r="C282" s="75"/>
      <c r="D282" s="75" t="s">
        <v>291</v>
      </c>
      <c r="E282" s="75"/>
      <c r="F282" s="75"/>
      <c r="G282" s="93">
        <v>15748000</v>
      </c>
      <c r="H282" s="93">
        <v>12048000</v>
      </c>
      <c r="I282" s="93">
        <v>12028517</v>
      </c>
      <c r="J282" s="217">
        <f t="shared" si="7"/>
        <v>0.998382885126162</v>
      </c>
    </row>
    <row r="283" spans="1:10" ht="15.75" customHeight="1">
      <c r="A283" s="218"/>
      <c r="B283" s="72" t="s">
        <v>386</v>
      </c>
      <c r="C283" s="75"/>
      <c r="D283" s="75" t="s">
        <v>384</v>
      </c>
      <c r="E283" s="75"/>
      <c r="F283" s="75"/>
      <c r="G283" s="93">
        <v>1574800</v>
      </c>
      <c r="H283" s="93">
        <v>4772958</v>
      </c>
      <c r="I283" s="93">
        <v>4772958</v>
      </c>
      <c r="J283" s="217">
        <f t="shared" si="7"/>
        <v>1</v>
      </c>
    </row>
    <row r="284" spans="1:10" ht="15.75" customHeight="1">
      <c r="A284" s="218"/>
      <c r="B284" s="72" t="s">
        <v>261</v>
      </c>
      <c r="C284" s="75"/>
      <c r="D284" s="75" t="s">
        <v>262</v>
      </c>
      <c r="E284" s="75"/>
      <c r="F284" s="75"/>
      <c r="G284" s="93">
        <v>4677200</v>
      </c>
      <c r="H284" s="93">
        <v>1561953</v>
      </c>
      <c r="I284" s="93">
        <v>1561953</v>
      </c>
      <c r="J284" s="217">
        <f t="shared" si="7"/>
        <v>1</v>
      </c>
    </row>
    <row r="285" spans="1:10" ht="15.75" customHeight="1">
      <c r="A285" s="222" t="s">
        <v>36</v>
      </c>
      <c r="B285" s="97"/>
      <c r="C285" s="97" t="s">
        <v>37</v>
      </c>
      <c r="D285" s="65"/>
      <c r="E285" s="65"/>
      <c r="F285" s="75"/>
      <c r="G285" s="94">
        <f>G286+G287</f>
        <v>10000000</v>
      </c>
      <c r="H285" s="94">
        <f>H286+H287</f>
        <v>30437386</v>
      </c>
      <c r="I285" s="94">
        <f>I286+I287</f>
        <v>30437386</v>
      </c>
      <c r="J285" s="217">
        <f t="shared" si="7"/>
        <v>1</v>
      </c>
    </row>
    <row r="286" spans="1:10" ht="15.75" customHeight="1">
      <c r="A286" s="219"/>
      <c r="B286" s="97" t="s">
        <v>272</v>
      </c>
      <c r="C286" s="65"/>
      <c r="D286" s="65" t="s">
        <v>389</v>
      </c>
      <c r="E286" s="65"/>
      <c r="F286" s="75"/>
      <c r="G286" s="92">
        <v>7874000</v>
      </c>
      <c r="H286" s="92">
        <v>23966446</v>
      </c>
      <c r="I286" s="92">
        <v>23966446</v>
      </c>
      <c r="J286" s="217">
        <f t="shared" si="7"/>
        <v>1</v>
      </c>
    </row>
    <row r="287" spans="1:10" ht="15.75" customHeight="1">
      <c r="A287" s="219"/>
      <c r="B287" s="97" t="s">
        <v>274</v>
      </c>
      <c r="C287" s="65"/>
      <c r="D287" s="65" t="s">
        <v>275</v>
      </c>
      <c r="E287" s="65"/>
      <c r="F287" s="75"/>
      <c r="G287" s="92">
        <v>2126000</v>
      </c>
      <c r="H287" s="92">
        <v>6470940</v>
      </c>
      <c r="I287" s="92">
        <v>6470940</v>
      </c>
      <c r="J287" s="217">
        <f t="shared" si="7"/>
        <v>1</v>
      </c>
    </row>
    <row r="288" spans="1:10" ht="15.75" customHeight="1">
      <c r="A288" s="218"/>
      <c r="B288" s="75"/>
      <c r="C288" s="75"/>
      <c r="D288" s="75"/>
      <c r="E288" s="75"/>
      <c r="F288" s="75"/>
      <c r="G288" s="92"/>
      <c r="H288" s="65"/>
      <c r="I288" s="127"/>
      <c r="J288" s="217"/>
    </row>
    <row r="289" spans="1:10" ht="15.75" customHeight="1">
      <c r="A289" s="176" t="s">
        <v>292</v>
      </c>
      <c r="B289" s="88"/>
      <c r="C289" s="88"/>
      <c r="D289" s="88"/>
      <c r="E289" s="88"/>
      <c r="F289" s="88"/>
      <c r="G289" s="91">
        <f>G295+G310+G312+G290</f>
        <v>18496000</v>
      </c>
      <c r="H289" s="91">
        <f>H295+H310+H312+H290+H293</f>
        <v>21018585</v>
      </c>
      <c r="I289" s="91">
        <f>I295+I310+I312+I290+I293</f>
        <v>19942648</v>
      </c>
      <c r="J289" s="192">
        <f t="shared" si="7"/>
        <v>0.9488102077280655</v>
      </c>
    </row>
    <row r="290" spans="1:10" ht="15.75" customHeight="1">
      <c r="A290" s="216" t="s">
        <v>23</v>
      </c>
      <c r="B290" s="72"/>
      <c r="C290" s="72" t="s">
        <v>169</v>
      </c>
      <c r="D290" s="72"/>
      <c r="E290" s="72"/>
      <c r="F290" s="165"/>
      <c r="G290" s="162">
        <f aca="true" t="shared" si="8" ref="G290:I291">SUM(G291)</f>
        <v>0</v>
      </c>
      <c r="H290" s="162">
        <f t="shared" si="8"/>
        <v>745000</v>
      </c>
      <c r="I290" s="162">
        <f t="shared" si="8"/>
        <v>745000</v>
      </c>
      <c r="J290" s="217">
        <f t="shared" si="7"/>
        <v>1</v>
      </c>
    </row>
    <row r="291" spans="1:10" ht="15.75" customHeight="1">
      <c r="A291" s="218"/>
      <c r="B291" s="72" t="s">
        <v>176</v>
      </c>
      <c r="C291" s="72"/>
      <c r="D291" s="72" t="s">
        <v>177</v>
      </c>
      <c r="E291" s="72"/>
      <c r="F291" s="165"/>
      <c r="G291" s="162">
        <f t="shared" si="8"/>
        <v>0</v>
      </c>
      <c r="H291" s="162">
        <f t="shared" si="8"/>
        <v>745000</v>
      </c>
      <c r="I291" s="162">
        <f t="shared" si="8"/>
        <v>745000</v>
      </c>
      <c r="J291" s="217">
        <f t="shared" si="7"/>
        <v>1</v>
      </c>
    </row>
    <row r="292" spans="1:10" ht="15.75" customHeight="1">
      <c r="A292" s="219"/>
      <c r="B292" s="75"/>
      <c r="C292" s="75" t="s">
        <v>288</v>
      </c>
      <c r="D292" s="75" t="s">
        <v>289</v>
      </c>
      <c r="E292" s="75"/>
      <c r="F292" s="165"/>
      <c r="G292" s="162">
        <v>0</v>
      </c>
      <c r="H292" s="163">
        <v>745000</v>
      </c>
      <c r="I292" s="163">
        <v>745000</v>
      </c>
      <c r="J292" s="217">
        <f t="shared" si="7"/>
        <v>1</v>
      </c>
    </row>
    <row r="293" spans="1:10" ht="15.75" customHeight="1">
      <c r="A293" s="216" t="s">
        <v>25</v>
      </c>
      <c r="B293" s="72"/>
      <c r="C293" s="72" t="s">
        <v>186</v>
      </c>
      <c r="D293" s="79"/>
      <c r="E293" s="75"/>
      <c r="F293" s="165"/>
      <c r="G293" s="163">
        <f>SUM(G294)</f>
        <v>0</v>
      </c>
      <c r="H293" s="163">
        <f>SUM(H294)</f>
        <v>135000</v>
      </c>
      <c r="I293" s="163">
        <f>SUM(I294)</f>
        <v>117340</v>
      </c>
      <c r="J293" s="217">
        <f t="shared" si="7"/>
        <v>0.8691851851851852</v>
      </c>
    </row>
    <row r="294" spans="1:10" ht="15.75" customHeight="1">
      <c r="A294" s="218"/>
      <c r="B294" s="75"/>
      <c r="C294" s="75" t="s">
        <v>268</v>
      </c>
      <c r="D294" s="77" t="s">
        <v>187</v>
      </c>
      <c r="E294" s="75"/>
      <c r="F294" s="165"/>
      <c r="G294" s="163">
        <v>0</v>
      </c>
      <c r="H294" s="163">
        <v>135000</v>
      </c>
      <c r="I294" s="163">
        <v>117340</v>
      </c>
      <c r="J294" s="217">
        <f t="shared" si="7"/>
        <v>0.8691851851851852</v>
      </c>
    </row>
    <row r="295" spans="1:10" ht="15.75" customHeight="1">
      <c r="A295" s="216" t="s">
        <v>27</v>
      </c>
      <c r="B295" s="72"/>
      <c r="C295" s="72" t="s">
        <v>28</v>
      </c>
      <c r="D295" s="72"/>
      <c r="E295" s="72"/>
      <c r="F295" s="75"/>
      <c r="G295" s="94">
        <f>G299+G301+G308+G296</f>
        <v>1251000</v>
      </c>
      <c r="H295" s="94">
        <f>H299+H301+H308+H296</f>
        <v>1251000</v>
      </c>
      <c r="I295" s="94">
        <f>I299+I301+I308+I296</f>
        <v>891777</v>
      </c>
      <c r="J295" s="217">
        <f t="shared" si="7"/>
        <v>0.7128513189448441</v>
      </c>
    </row>
    <row r="296" spans="1:10" ht="15.75" customHeight="1">
      <c r="A296" s="216"/>
      <c r="B296" s="110"/>
      <c r="C296" s="77"/>
      <c r="D296" s="72" t="s">
        <v>190</v>
      </c>
      <c r="E296" s="81"/>
      <c r="F296" s="75"/>
      <c r="G296" s="94">
        <f>G297</f>
        <v>51000</v>
      </c>
      <c r="H296" s="94">
        <f>H297+H298</f>
        <v>51000</v>
      </c>
      <c r="I296" s="94">
        <f>I297+I298</f>
        <v>12583</v>
      </c>
      <c r="J296" s="217">
        <f t="shared" si="7"/>
        <v>0.24672549019607842</v>
      </c>
    </row>
    <row r="297" spans="1:10" ht="15.75" customHeight="1">
      <c r="A297" s="216"/>
      <c r="B297" s="72"/>
      <c r="C297" s="75" t="s">
        <v>191</v>
      </c>
      <c r="D297" s="75" t="s">
        <v>192</v>
      </c>
      <c r="E297" s="81"/>
      <c r="F297" s="75"/>
      <c r="G297" s="92">
        <v>51000</v>
      </c>
      <c r="H297" s="92">
        <v>38417</v>
      </c>
      <c r="I297" s="92">
        <v>0</v>
      </c>
      <c r="J297" s="217">
        <f t="shared" si="7"/>
        <v>0</v>
      </c>
    </row>
    <row r="298" spans="1:10" ht="15.75" customHeight="1">
      <c r="A298" s="216"/>
      <c r="B298" s="72"/>
      <c r="C298" s="75" t="s">
        <v>194</v>
      </c>
      <c r="D298" s="75" t="s">
        <v>451</v>
      </c>
      <c r="E298" s="81"/>
      <c r="F298" s="75"/>
      <c r="G298" s="92"/>
      <c r="H298" s="92">
        <v>12583</v>
      </c>
      <c r="I298" s="92">
        <v>12583</v>
      </c>
      <c r="J298" s="217">
        <f t="shared" si="7"/>
        <v>1</v>
      </c>
    </row>
    <row r="299" spans="1:10" ht="15.75" customHeight="1">
      <c r="A299" s="220"/>
      <c r="B299" s="72" t="s">
        <v>197</v>
      </c>
      <c r="C299" s="82"/>
      <c r="D299" s="72" t="s">
        <v>198</v>
      </c>
      <c r="E299" s="82"/>
      <c r="F299" s="75"/>
      <c r="G299" s="94">
        <f>SUM(G300)</f>
        <v>130000</v>
      </c>
      <c r="H299" s="94">
        <f>SUM(H300)</f>
        <v>130000</v>
      </c>
      <c r="I299" s="94">
        <f>SUM(I300)</f>
        <v>81524</v>
      </c>
      <c r="J299" s="217">
        <f t="shared" si="7"/>
        <v>0.6271076923076923</v>
      </c>
    </row>
    <row r="300" spans="1:10" ht="15.75" customHeight="1">
      <c r="A300" s="218"/>
      <c r="B300" s="75"/>
      <c r="C300" s="75" t="s">
        <v>201</v>
      </c>
      <c r="D300" s="75" t="s">
        <v>202</v>
      </c>
      <c r="E300" s="75"/>
      <c r="F300" s="75"/>
      <c r="G300" s="92">
        <v>130000</v>
      </c>
      <c r="H300" s="92">
        <v>130000</v>
      </c>
      <c r="I300" s="92">
        <v>81524</v>
      </c>
      <c r="J300" s="217">
        <f t="shared" si="7"/>
        <v>0.6271076923076923</v>
      </c>
    </row>
    <row r="301" spans="1:10" ht="15.75" customHeight="1">
      <c r="A301" s="220"/>
      <c r="B301" s="72" t="s">
        <v>203</v>
      </c>
      <c r="C301" s="82"/>
      <c r="D301" s="72" t="s">
        <v>204</v>
      </c>
      <c r="E301" s="82"/>
      <c r="F301" s="75"/>
      <c r="G301" s="94">
        <f>G302+G306+G307</f>
        <v>860000</v>
      </c>
      <c r="H301" s="94">
        <f>H302+H306+H307</f>
        <v>860000</v>
      </c>
      <c r="I301" s="94">
        <f>I302+I306+I307</f>
        <v>612860</v>
      </c>
      <c r="J301" s="217">
        <f t="shared" si="7"/>
        <v>0.7126279069767442</v>
      </c>
    </row>
    <row r="302" spans="1:10" ht="15.75" customHeight="1">
      <c r="A302" s="218"/>
      <c r="B302" s="75"/>
      <c r="C302" s="75" t="s">
        <v>205</v>
      </c>
      <c r="D302" s="75" t="s">
        <v>206</v>
      </c>
      <c r="E302" s="75"/>
      <c r="F302" s="75"/>
      <c r="G302" s="92">
        <f>SUM(G303:G305)</f>
        <v>660000</v>
      </c>
      <c r="H302" s="92">
        <v>605595</v>
      </c>
      <c r="I302" s="92">
        <f>SUM(I303:I305)</f>
        <v>442455</v>
      </c>
      <c r="J302" s="217">
        <f t="shared" si="7"/>
        <v>0.7306120427018057</v>
      </c>
    </row>
    <row r="303" spans="1:10" ht="15.75" customHeight="1">
      <c r="A303" s="218"/>
      <c r="B303" s="75"/>
      <c r="C303" s="75"/>
      <c r="D303" s="75"/>
      <c r="E303" s="77" t="s">
        <v>207</v>
      </c>
      <c r="F303" s="75"/>
      <c r="G303" s="92">
        <v>200000</v>
      </c>
      <c r="H303" s="92">
        <v>200000</v>
      </c>
      <c r="I303" s="92">
        <v>100000</v>
      </c>
      <c r="J303" s="217">
        <f t="shared" si="7"/>
        <v>0.5</v>
      </c>
    </row>
    <row r="304" spans="1:10" ht="15.75" customHeight="1">
      <c r="A304" s="218"/>
      <c r="B304" s="75"/>
      <c r="C304" s="75"/>
      <c r="D304" s="75"/>
      <c r="E304" s="77" t="s">
        <v>208</v>
      </c>
      <c r="F304" s="75"/>
      <c r="G304" s="92">
        <v>400000</v>
      </c>
      <c r="H304" s="92">
        <v>350000</v>
      </c>
      <c r="I304" s="92">
        <v>286860</v>
      </c>
      <c r="J304" s="217">
        <f t="shared" si="7"/>
        <v>0.8196</v>
      </c>
    </row>
    <row r="305" spans="1:10" ht="15.75" customHeight="1">
      <c r="A305" s="218"/>
      <c r="B305" s="75"/>
      <c r="C305" s="75"/>
      <c r="D305" s="75"/>
      <c r="E305" s="77" t="s">
        <v>209</v>
      </c>
      <c r="F305" s="75"/>
      <c r="G305" s="92">
        <v>60000</v>
      </c>
      <c r="H305" s="92">
        <v>55595</v>
      </c>
      <c r="I305" s="92">
        <v>55595</v>
      </c>
      <c r="J305" s="217">
        <f t="shared" si="7"/>
        <v>1</v>
      </c>
    </row>
    <row r="306" spans="1:10" ht="15.75" customHeight="1">
      <c r="A306" s="218"/>
      <c r="B306" s="75"/>
      <c r="C306" s="75" t="s">
        <v>212</v>
      </c>
      <c r="D306" s="75" t="s">
        <v>213</v>
      </c>
      <c r="E306" s="75"/>
      <c r="F306" s="75"/>
      <c r="G306" s="92">
        <v>100000</v>
      </c>
      <c r="H306" s="92">
        <v>100000</v>
      </c>
      <c r="I306" s="92">
        <v>16000</v>
      </c>
      <c r="J306" s="217">
        <f t="shared" si="7"/>
        <v>0.16</v>
      </c>
    </row>
    <row r="307" spans="1:10" ht="15.75" customHeight="1">
      <c r="A307" s="218"/>
      <c r="B307" s="75"/>
      <c r="C307" s="75" t="s">
        <v>214</v>
      </c>
      <c r="D307" s="75" t="s">
        <v>215</v>
      </c>
      <c r="E307" s="75"/>
      <c r="F307" s="75"/>
      <c r="G307" s="92">
        <v>100000</v>
      </c>
      <c r="H307" s="92">
        <v>154405</v>
      </c>
      <c r="I307" s="92">
        <v>154405</v>
      </c>
      <c r="J307" s="217">
        <f t="shared" si="7"/>
        <v>1</v>
      </c>
    </row>
    <row r="308" spans="1:10" ht="15.75" customHeight="1">
      <c r="A308" s="220"/>
      <c r="B308" s="72" t="s">
        <v>221</v>
      </c>
      <c r="C308" s="82"/>
      <c r="D308" s="72" t="s">
        <v>222</v>
      </c>
      <c r="E308" s="82"/>
      <c r="F308" s="75"/>
      <c r="G308" s="94">
        <f>SUM(G309)</f>
        <v>210000</v>
      </c>
      <c r="H308" s="94">
        <f>SUM(H309)</f>
        <v>210000</v>
      </c>
      <c r="I308" s="94">
        <f>SUM(I309)</f>
        <v>184810</v>
      </c>
      <c r="J308" s="217">
        <f t="shared" si="7"/>
        <v>0.8800476190476191</v>
      </c>
    </row>
    <row r="309" spans="1:10" ht="15.75" customHeight="1">
      <c r="A309" s="218"/>
      <c r="B309" s="75"/>
      <c r="C309" s="75" t="s">
        <v>223</v>
      </c>
      <c r="D309" s="75" t="s">
        <v>224</v>
      </c>
      <c r="E309" s="75"/>
      <c r="F309" s="75"/>
      <c r="G309" s="92">
        <v>210000</v>
      </c>
      <c r="H309" s="92">
        <v>210000</v>
      </c>
      <c r="I309" s="92">
        <v>184810</v>
      </c>
      <c r="J309" s="217">
        <f t="shared" si="7"/>
        <v>0.8800476190476191</v>
      </c>
    </row>
    <row r="310" spans="1:10" ht="15.75" customHeight="1">
      <c r="A310" s="216" t="s">
        <v>31</v>
      </c>
      <c r="B310" s="72"/>
      <c r="C310" s="72" t="s">
        <v>32</v>
      </c>
      <c r="D310" s="72"/>
      <c r="E310" s="72"/>
      <c r="F310" s="75"/>
      <c r="G310" s="94">
        <f>SUM(G311)</f>
        <v>2245000</v>
      </c>
      <c r="H310" s="94">
        <f>SUM(H311)</f>
        <v>2245000</v>
      </c>
      <c r="I310" s="94">
        <f>SUM(I311)</f>
        <v>1545946</v>
      </c>
      <c r="J310" s="217">
        <f t="shared" si="7"/>
        <v>0.6886173719376392</v>
      </c>
    </row>
    <row r="311" spans="1:10" ht="15.75" customHeight="1">
      <c r="A311" s="218"/>
      <c r="B311" s="75"/>
      <c r="C311" s="75" t="s">
        <v>232</v>
      </c>
      <c r="D311" s="75" t="s">
        <v>233</v>
      </c>
      <c r="E311" s="75"/>
      <c r="F311" s="75"/>
      <c r="G311" s="93">
        <v>2245000</v>
      </c>
      <c r="H311" s="93">
        <v>2245000</v>
      </c>
      <c r="I311" s="93">
        <v>1545946</v>
      </c>
      <c r="J311" s="217">
        <f t="shared" si="7"/>
        <v>0.6886173719376392</v>
      </c>
    </row>
    <row r="312" spans="1:10" ht="15.75" customHeight="1">
      <c r="A312" s="222" t="s">
        <v>36</v>
      </c>
      <c r="B312" s="65"/>
      <c r="C312" s="97" t="s">
        <v>37</v>
      </c>
      <c r="D312" s="65"/>
      <c r="E312" s="65"/>
      <c r="F312" s="75"/>
      <c r="G312" s="112">
        <f>SUM(G313:G314)</f>
        <v>15000000</v>
      </c>
      <c r="H312" s="112">
        <f>SUM(H313:H314)</f>
        <v>16642585</v>
      </c>
      <c r="I312" s="112">
        <f>SUM(I313:I314)</f>
        <v>16642585</v>
      </c>
      <c r="J312" s="217">
        <f t="shared" si="7"/>
        <v>1</v>
      </c>
    </row>
    <row r="313" spans="1:10" ht="15.75" customHeight="1">
      <c r="A313" s="219"/>
      <c r="B313" s="97" t="s">
        <v>272</v>
      </c>
      <c r="C313" s="65"/>
      <c r="D313" s="65" t="s">
        <v>390</v>
      </c>
      <c r="E313" s="65"/>
      <c r="F313" s="75"/>
      <c r="G313" s="93">
        <v>11811000</v>
      </c>
      <c r="H313" s="93">
        <v>13157547</v>
      </c>
      <c r="I313" s="93">
        <v>13157547</v>
      </c>
      <c r="J313" s="217">
        <f t="shared" si="7"/>
        <v>1</v>
      </c>
    </row>
    <row r="314" spans="1:10" ht="15.75" customHeight="1">
      <c r="A314" s="219"/>
      <c r="B314" s="97" t="s">
        <v>274</v>
      </c>
      <c r="C314" s="65"/>
      <c r="D314" s="65" t="s">
        <v>275</v>
      </c>
      <c r="E314" s="65"/>
      <c r="F314" s="75"/>
      <c r="G314" s="93">
        <v>3189000</v>
      </c>
      <c r="H314" s="93">
        <v>3485038</v>
      </c>
      <c r="I314" s="93">
        <v>3485038</v>
      </c>
      <c r="J314" s="217">
        <f t="shared" si="7"/>
        <v>1</v>
      </c>
    </row>
    <row r="315" spans="1:10" ht="15.75" customHeight="1">
      <c r="A315" s="218"/>
      <c r="B315" s="75"/>
      <c r="C315" s="75"/>
      <c r="D315" s="75"/>
      <c r="E315" s="75"/>
      <c r="F315" s="75"/>
      <c r="G315" s="92"/>
      <c r="H315" s="65"/>
      <c r="I315" s="127"/>
      <c r="J315" s="217"/>
    </row>
    <row r="316" spans="1:10" ht="15.75" customHeight="1">
      <c r="A316" s="176" t="s">
        <v>293</v>
      </c>
      <c r="B316" s="88"/>
      <c r="C316" s="88"/>
      <c r="D316" s="88"/>
      <c r="E316" s="88"/>
      <c r="F316" s="88"/>
      <c r="G316" s="91">
        <f aca="true" t="shared" si="9" ref="G316:I317">G317</f>
        <v>1260000</v>
      </c>
      <c r="H316" s="91">
        <f t="shared" si="9"/>
        <v>0</v>
      </c>
      <c r="I316" s="91">
        <f t="shared" si="9"/>
        <v>0</v>
      </c>
      <c r="J316" s="192"/>
    </row>
    <row r="317" spans="1:10" ht="15.75" customHeight="1">
      <c r="A317" s="216" t="s">
        <v>31</v>
      </c>
      <c r="B317" s="72"/>
      <c r="C317" s="72" t="s">
        <v>32</v>
      </c>
      <c r="D317" s="72"/>
      <c r="E317" s="72"/>
      <c r="F317" s="75"/>
      <c r="G317" s="92">
        <f t="shared" si="9"/>
        <v>1260000</v>
      </c>
      <c r="H317" s="92">
        <f t="shared" si="9"/>
        <v>0</v>
      </c>
      <c r="I317" s="92">
        <f t="shared" si="9"/>
        <v>0</v>
      </c>
      <c r="J317" s="217"/>
    </row>
    <row r="318" spans="1:10" ht="15.75" customHeight="1">
      <c r="A318" s="218"/>
      <c r="B318" s="75"/>
      <c r="C318" s="75" t="s">
        <v>227</v>
      </c>
      <c r="D318" s="75" t="s">
        <v>228</v>
      </c>
      <c r="E318" s="75"/>
      <c r="F318" s="75"/>
      <c r="G318" s="93">
        <v>1260000</v>
      </c>
      <c r="H318" s="93">
        <v>0</v>
      </c>
      <c r="I318" s="93">
        <v>0</v>
      </c>
      <c r="J318" s="217"/>
    </row>
    <row r="319" spans="1:10" ht="15.75" customHeight="1">
      <c r="A319" s="218"/>
      <c r="B319" s="75"/>
      <c r="C319" s="75"/>
      <c r="D319" s="75"/>
      <c r="E319" s="75"/>
      <c r="F319" s="75"/>
      <c r="G319" s="92"/>
      <c r="H319" s="65"/>
      <c r="I319" s="127"/>
      <c r="J319" s="217"/>
    </row>
    <row r="320" spans="1:10" ht="15.75" customHeight="1">
      <c r="A320" s="176" t="s">
        <v>122</v>
      </c>
      <c r="B320" s="88"/>
      <c r="C320" s="88"/>
      <c r="D320" s="88"/>
      <c r="E320" s="88"/>
      <c r="F320" s="88"/>
      <c r="G320" s="91">
        <f>G321+G333</f>
        <v>3200000</v>
      </c>
      <c r="H320" s="91">
        <f>H321+H333</f>
        <v>3200000</v>
      </c>
      <c r="I320" s="91">
        <f>I321+I333</f>
        <v>2866929</v>
      </c>
      <c r="J320" s="192">
        <f t="shared" si="7"/>
        <v>0.8959153125</v>
      </c>
    </row>
    <row r="321" spans="1:10" ht="15.75" customHeight="1">
      <c r="A321" s="216" t="s">
        <v>27</v>
      </c>
      <c r="B321" s="72"/>
      <c r="C321" s="72" t="s">
        <v>28</v>
      </c>
      <c r="D321" s="72"/>
      <c r="E321" s="72"/>
      <c r="F321" s="75"/>
      <c r="G321" s="94">
        <f>G324+G331+G322</f>
        <v>700000</v>
      </c>
      <c r="H321" s="94">
        <f>H324+H331+H322</f>
        <v>700000</v>
      </c>
      <c r="I321" s="94">
        <f>I324+I331+I322</f>
        <v>366929</v>
      </c>
      <c r="J321" s="217">
        <f t="shared" si="7"/>
        <v>0.5241842857142858</v>
      </c>
    </row>
    <row r="322" spans="1:10" ht="15.75" customHeight="1">
      <c r="A322" s="220"/>
      <c r="B322" s="72" t="s">
        <v>197</v>
      </c>
      <c r="C322" s="82"/>
      <c r="D322" s="72" t="s">
        <v>198</v>
      </c>
      <c r="E322" s="82"/>
      <c r="F322" s="75"/>
      <c r="G322" s="94">
        <f>G323</f>
        <v>20000</v>
      </c>
      <c r="H322" s="94">
        <f>H323</f>
        <v>20000</v>
      </c>
      <c r="I322" s="94">
        <f>I323</f>
        <v>0</v>
      </c>
      <c r="J322" s="217">
        <f t="shared" si="7"/>
        <v>0</v>
      </c>
    </row>
    <row r="323" spans="1:10" ht="15.75" customHeight="1">
      <c r="A323" s="218"/>
      <c r="B323" s="75"/>
      <c r="C323" s="75" t="s">
        <v>201</v>
      </c>
      <c r="D323" s="75" t="s">
        <v>202</v>
      </c>
      <c r="E323" s="75"/>
      <c r="F323" s="75"/>
      <c r="G323" s="92">
        <v>20000</v>
      </c>
      <c r="H323" s="92">
        <v>20000</v>
      </c>
      <c r="I323" s="92">
        <v>0</v>
      </c>
      <c r="J323" s="217">
        <f t="shared" si="7"/>
        <v>0</v>
      </c>
    </row>
    <row r="324" spans="1:10" ht="15.75" customHeight="1">
      <c r="A324" s="220"/>
      <c r="B324" s="72" t="s">
        <v>203</v>
      </c>
      <c r="C324" s="82"/>
      <c r="D324" s="72" t="s">
        <v>204</v>
      </c>
      <c r="E324" s="82"/>
      <c r="F324" s="75"/>
      <c r="G324" s="94">
        <f>G325+G329+G330</f>
        <v>530000</v>
      </c>
      <c r="H324" s="94">
        <f>H325+H329+H330</f>
        <v>530000</v>
      </c>
      <c r="I324" s="94">
        <f>I325+I329+I330</f>
        <v>291729</v>
      </c>
      <c r="J324" s="217">
        <f t="shared" si="7"/>
        <v>0.5504320754716981</v>
      </c>
    </row>
    <row r="325" spans="1:10" ht="15.75" customHeight="1">
      <c r="A325" s="218"/>
      <c r="B325" s="75"/>
      <c r="C325" s="75" t="s">
        <v>205</v>
      </c>
      <c r="D325" s="75" t="s">
        <v>206</v>
      </c>
      <c r="E325" s="75"/>
      <c r="F325" s="75"/>
      <c r="G325" s="92">
        <f>SUM(G326:G328)</f>
        <v>430000</v>
      </c>
      <c r="H325" s="92">
        <f>SUM(H326:H328)</f>
        <v>430000</v>
      </c>
      <c r="I325" s="92">
        <f>SUM(I326:I328)</f>
        <v>283729</v>
      </c>
      <c r="J325" s="217">
        <f t="shared" si="7"/>
        <v>0.6598348837209302</v>
      </c>
    </row>
    <row r="326" spans="1:10" ht="15.75" customHeight="1">
      <c r="A326" s="218"/>
      <c r="B326" s="75"/>
      <c r="C326" s="75"/>
      <c r="D326" s="75"/>
      <c r="E326" s="77" t="s">
        <v>207</v>
      </c>
      <c r="F326" s="75"/>
      <c r="G326" s="92">
        <v>100000</v>
      </c>
      <c r="H326" s="92">
        <v>100000</v>
      </c>
      <c r="I326" s="92">
        <v>50000</v>
      </c>
      <c r="J326" s="217">
        <f t="shared" si="7"/>
        <v>0.5</v>
      </c>
    </row>
    <row r="327" spans="1:10" ht="15.75" customHeight="1">
      <c r="A327" s="218"/>
      <c r="B327" s="75"/>
      <c r="C327" s="75"/>
      <c r="D327" s="75"/>
      <c r="E327" s="77" t="s">
        <v>208</v>
      </c>
      <c r="F327" s="75"/>
      <c r="G327" s="92">
        <v>250000</v>
      </c>
      <c r="H327" s="92">
        <v>250000</v>
      </c>
      <c r="I327" s="92">
        <v>153729</v>
      </c>
      <c r="J327" s="217">
        <f t="shared" si="7"/>
        <v>0.614916</v>
      </c>
    </row>
    <row r="328" spans="1:10" ht="15.75" customHeight="1">
      <c r="A328" s="218"/>
      <c r="B328" s="75"/>
      <c r="C328" s="75"/>
      <c r="D328" s="75"/>
      <c r="E328" s="77" t="s">
        <v>209</v>
      </c>
      <c r="F328" s="75"/>
      <c r="G328" s="92">
        <v>80000</v>
      </c>
      <c r="H328" s="92">
        <v>80000</v>
      </c>
      <c r="I328" s="92">
        <v>80000</v>
      </c>
      <c r="J328" s="217">
        <f t="shared" si="7"/>
        <v>1</v>
      </c>
    </row>
    <row r="329" spans="1:10" ht="15.75" customHeight="1">
      <c r="A329" s="218"/>
      <c r="B329" s="75"/>
      <c r="C329" s="75" t="s">
        <v>212</v>
      </c>
      <c r="D329" s="75" t="s">
        <v>213</v>
      </c>
      <c r="E329" s="75"/>
      <c r="F329" s="75"/>
      <c r="G329" s="92">
        <v>50000</v>
      </c>
      <c r="H329" s="92">
        <v>50000</v>
      </c>
      <c r="I329" s="92">
        <v>8000</v>
      </c>
      <c r="J329" s="217">
        <f t="shared" si="7"/>
        <v>0.16</v>
      </c>
    </row>
    <row r="330" spans="1:10" ht="15.75" customHeight="1">
      <c r="A330" s="218"/>
      <c r="B330" s="75"/>
      <c r="C330" s="75" t="s">
        <v>214</v>
      </c>
      <c r="D330" s="75" t="s">
        <v>215</v>
      </c>
      <c r="E330" s="75"/>
      <c r="F330" s="75"/>
      <c r="G330" s="92">
        <v>50000</v>
      </c>
      <c r="H330" s="92">
        <v>50000</v>
      </c>
      <c r="I330" s="92">
        <v>0</v>
      </c>
      <c r="J330" s="217">
        <f t="shared" si="7"/>
        <v>0</v>
      </c>
    </row>
    <row r="331" spans="1:10" ht="15.75" customHeight="1">
      <c r="A331" s="220"/>
      <c r="B331" s="72" t="s">
        <v>221</v>
      </c>
      <c r="C331" s="82"/>
      <c r="D331" s="72" t="s">
        <v>222</v>
      </c>
      <c r="E331" s="82"/>
      <c r="F331" s="75"/>
      <c r="G331" s="94">
        <f>SUM(G332)</f>
        <v>150000</v>
      </c>
      <c r="H331" s="94">
        <f>SUM(H332)</f>
        <v>150000</v>
      </c>
      <c r="I331" s="94">
        <f>SUM(I332)</f>
        <v>75200</v>
      </c>
      <c r="J331" s="217">
        <f t="shared" si="7"/>
        <v>0.5013333333333333</v>
      </c>
    </row>
    <row r="332" spans="1:10" ht="15.75" customHeight="1">
      <c r="A332" s="218"/>
      <c r="B332" s="75"/>
      <c r="C332" s="75" t="s">
        <v>223</v>
      </c>
      <c r="D332" s="75" t="s">
        <v>224</v>
      </c>
      <c r="E332" s="75"/>
      <c r="F332" s="75"/>
      <c r="G332" s="92">
        <v>150000</v>
      </c>
      <c r="H332" s="92">
        <v>150000</v>
      </c>
      <c r="I332" s="92">
        <v>75200</v>
      </c>
      <c r="J332" s="217">
        <f t="shared" si="7"/>
        <v>0.5013333333333333</v>
      </c>
    </row>
    <row r="333" spans="1:10" ht="15.75" customHeight="1">
      <c r="A333" s="216" t="s">
        <v>31</v>
      </c>
      <c r="B333" s="72"/>
      <c r="C333" s="72" t="s">
        <v>32</v>
      </c>
      <c r="D333" s="72"/>
      <c r="E333" s="72"/>
      <c r="F333" s="75"/>
      <c r="G333" s="94">
        <f>SUM(G334)</f>
        <v>2500000</v>
      </c>
      <c r="H333" s="94">
        <f>SUM(H334)</f>
        <v>2500000</v>
      </c>
      <c r="I333" s="94">
        <f>SUM(I334)</f>
        <v>2500000</v>
      </c>
      <c r="J333" s="217">
        <f aca="true" t="shared" si="10" ref="J333:J396">I333/H333</f>
        <v>1</v>
      </c>
    </row>
    <row r="334" spans="1:10" ht="15.75" customHeight="1">
      <c r="A334" s="218"/>
      <c r="B334" s="75"/>
      <c r="C334" s="75" t="s">
        <v>232</v>
      </c>
      <c r="D334" s="75" t="s">
        <v>233</v>
      </c>
      <c r="E334" s="75"/>
      <c r="F334" s="75"/>
      <c r="G334" s="92">
        <v>2500000</v>
      </c>
      <c r="H334" s="92">
        <v>2500000</v>
      </c>
      <c r="I334" s="92">
        <v>2500000</v>
      </c>
      <c r="J334" s="217">
        <f t="shared" si="10"/>
        <v>1</v>
      </c>
    </row>
    <row r="335" spans="1:10" ht="15.75" customHeight="1">
      <c r="A335" s="218"/>
      <c r="B335" s="75"/>
      <c r="C335" s="75"/>
      <c r="D335" s="75"/>
      <c r="E335" s="75"/>
      <c r="F335" s="75"/>
      <c r="G335" s="92"/>
      <c r="H335" s="65"/>
      <c r="I335" s="127"/>
      <c r="J335" s="217"/>
    </row>
    <row r="336" spans="1:10" ht="15.75" customHeight="1">
      <c r="A336" s="176" t="s">
        <v>123</v>
      </c>
      <c r="B336" s="88"/>
      <c r="C336" s="88"/>
      <c r="D336" s="88"/>
      <c r="E336" s="88"/>
      <c r="F336" s="98">
        <v>1.25</v>
      </c>
      <c r="G336" s="91">
        <f>G337+G347+G350</f>
        <v>7156656</v>
      </c>
      <c r="H336" s="91">
        <f>H337+H347+H350+H366</f>
        <v>7575932</v>
      </c>
      <c r="I336" s="91">
        <f>I337+I347+I350+I366</f>
        <v>6923851</v>
      </c>
      <c r="J336" s="192">
        <f t="shared" si="10"/>
        <v>0.913927289738081</v>
      </c>
    </row>
    <row r="337" spans="1:10" ht="15.75" customHeight="1">
      <c r="A337" s="216" t="s">
        <v>23</v>
      </c>
      <c r="B337" s="72"/>
      <c r="C337" s="72" t="s">
        <v>169</v>
      </c>
      <c r="D337" s="72"/>
      <c r="E337" s="72"/>
      <c r="F337" s="75"/>
      <c r="G337" s="94">
        <f>G338+G345</f>
        <v>4713854</v>
      </c>
      <c r="H337" s="94">
        <f>H338+H345</f>
        <v>5134041</v>
      </c>
      <c r="I337" s="94">
        <f>I338+I345</f>
        <v>5139662</v>
      </c>
      <c r="J337" s="217">
        <f t="shared" si="10"/>
        <v>1.0010948490672358</v>
      </c>
    </row>
    <row r="338" spans="1:10" ht="15.75" customHeight="1">
      <c r="A338" s="218"/>
      <c r="B338" s="72" t="s">
        <v>170</v>
      </c>
      <c r="C338" s="72"/>
      <c r="D338" s="72" t="s">
        <v>171</v>
      </c>
      <c r="E338" s="72"/>
      <c r="F338" s="75"/>
      <c r="G338" s="94">
        <f>SUM(G339:G344)</f>
        <v>4658714</v>
      </c>
      <c r="H338" s="94">
        <f>SUM(H339:H344)</f>
        <v>5134041</v>
      </c>
      <c r="I338" s="94">
        <f>SUM(I339:I344)</f>
        <v>5139662</v>
      </c>
      <c r="J338" s="217">
        <f t="shared" si="10"/>
        <v>1.0010948490672358</v>
      </c>
    </row>
    <row r="339" spans="1:10" ht="15.75" customHeight="1">
      <c r="A339" s="219"/>
      <c r="B339" s="75"/>
      <c r="C339" s="75" t="s">
        <v>172</v>
      </c>
      <c r="D339" s="75" t="s">
        <v>173</v>
      </c>
      <c r="E339" s="75"/>
      <c r="F339" s="75"/>
      <c r="G339" s="92">
        <v>4186464</v>
      </c>
      <c r="H339" s="92">
        <v>4553847</v>
      </c>
      <c r="I339" s="92">
        <v>4553847</v>
      </c>
      <c r="J339" s="217">
        <f t="shared" si="10"/>
        <v>1</v>
      </c>
    </row>
    <row r="340" spans="1:10" ht="15.75" customHeight="1">
      <c r="A340" s="219"/>
      <c r="B340" s="75"/>
      <c r="C340" s="75" t="s">
        <v>359</v>
      </c>
      <c r="D340" s="75" t="s">
        <v>391</v>
      </c>
      <c r="E340" s="75"/>
      <c r="F340" s="75"/>
      <c r="G340" s="92">
        <v>166000</v>
      </c>
      <c r="H340" s="92">
        <f>166000+25021</f>
        <v>191021</v>
      </c>
      <c r="I340" s="92">
        <v>193383</v>
      </c>
      <c r="J340" s="217">
        <f t="shared" si="10"/>
        <v>1.0123651326293968</v>
      </c>
    </row>
    <row r="341" spans="1:10" ht="15.75" customHeight="1">
      <c r="A341" s="218"/>
      <c r="B341" s="75"/>
      <c r="C341" s="75" t="s">
        <v>174</v>
      </c>
      <c r="D341" s="75" t="s">
        <v>175</v>
      </c>
      <c r="E341" s="75"/>
      <c r="F341" s="75"/>
      <c r="G341" s="92">
        <v>186250</v>
      </c>
      <c r="H341" s="92">
        <v>186250</v>
      </c>
      <c r="I341" s="92">
        <v>185874</v>
      </c>
      <c r="J341" s="217">
        <f t="shared" si="10"/>
        <v>0.9979812080536913</v>
      </c>
    </row>
    <row r="342" spans="1:10" ht="15.75" customHeight="1">
      <c r="A342" s="218"/>
      <c r="B342" s="75"/>
      <c r="C342" s="75" t="s">
        <v>286</v>
      </c>
      <c r="D342" s="75" t="s">
        <v>287</v>
      </c>
      <c r="E342" s="75"/>
      <c r="F342" s="75"/>
      <c r="G342" s="92"/>
      <c r="H342" s="92">
        <v>2790</v>
      </c>
      <c r="I342" s="92">
        <v>2790</v>
      </c>
      <c r="J342" s="217">
        <f t="shared" si="10"/>
        <v>1</v>
      </c>
    </row>
    <row r="343" spans="1:10" ht="15.75" customHeight="1">
      <c r="A343" s="218"/>
      <c r="B343" s="75"/>
      <c r="C343" s="75" t="s">
        <v>294</v>
      </c>
      <c r="D343" s="75" t="s">
        <v>295</v>
      </c>
      <c r="E343" s="75"/>
      <c r="F343" s="75"/>
      <c r="G343" s="92">
        <v>120000</v>
      </c>
      <c r="H343" s="92">
        <v>120000</v>
      </c>
      <c r="I343" s="92">
        <v>119850</v>
      </c>
      <c r="J343" s="217">
        <f t="shared" si="10"/>
        <v>0.99875</v>
      </c>
    </row>
    <row r="344" spans="1:10" ht="15.75" customHeight="1">
      <c r="A344" s="218"/>
      <c r="B344" s="75"/>
      <c r="C344" s="74" t="s">
        <v>254</v>
      </c>
      <c r="D344" s="75" t="s">
        <v>171</v>
      </c>
      <c r="E344" s="75"/>
      <c r="F344" s="75"/>
      <c r="G344" s="92">
        <v>0</v>
      </c>
      <c r="H344" s="92">
        <v>80133</v>
      </c>
      <c r="I344" s="92">
        <v>83918</v>
      </c>
      <c r="J344" s="217">
        <f t="shared" si="10"/>
        <v>1.0472339735190246</v>
      </c>
    </row>
    <row r="345" spans="1:10" ht="15.75" customHeight="1">
      <c r="A345" s="216"/>
      <c r="B345" s="72" t="s">
        <v>176</v>
      </c>
      <c r="C345" s="72"/>
      <c r="D345" s="72" t="s">
        <v>177</v>
      </c>
      <c r="E345" s="223"/>
      <c r="F345" s="72"/>
      <c r="G345" s="94">
        <f>G346</f>
        <v>55140</v>
      </c>
      <c r="H345" s="94">
        <f>H346</f>
        <v>0</v>
      </c>
      <c r="I345" s="94">
        <f>I346</f>
        <v>0</v>
      </c>
      <c r="J345" s="217"/>
    </row>
    <row r="346" spans="1:10" ht="15.75" customHeight="1">
      <c r="A346" s="218"/>
      <c r="B346" s="75"/>
      <c r="C346" s="75" t="s">
        <v>288</v>
      </c>
      <c r="D346" s="75" t="s">
        <v>432</v>
      </c>
      <c r="E346" s="223"/>
      <c r="F346" s="75"/>
      <c r="G346" s="92">
        <v>55140</v>
      </c>
      <c r="H346" s="92">
        <v>0</v>
      </c>
      <c r="I346" s="92">
        <v>0</v>
      </c>
      <c r="J346" s="217"/>
    </row>
    <row r="347" spans="1:10" ht="15.75" customHeight="1">
      <c r="A347" s="216" t="s">
        <v>25</v>
      </c>
      <c r="B347" s="72"/>
      <c r="C347" s="72" t="s">
        <v>186</v>
      </c>
      <c r="D347" s="79"/>
      <c r="E347" s="79"/>
      <c r="F347" s="75"/>
      <c r="G347" s="94">
        <f>SUM(G348:G349)</f>
        <v>952802</v>
      </c>
      <c r="H347" s="94">
        <f>SUM(H348:H349)</f>
        <v>951891</v>
      </c>
      <c r="I347" s="94">
        <f>SUM(I348:I349)</f>
        <v>979772</v>
      </c>
      <c r="J347" s="217">
        <f t="shared" si="10"/>
        <v>1.02929011830136</v>
      </c>
    </row>
    <row r="348" spans="1:10" ht="15.75" customHeight="1">
      <c r="A348" s="218"/>
      <c r="B348" s="75"/>
      <c r="C348" s="75"/>
      <c r="D348" s="77" t="s">
        <v>187</v>
      </c>
      <c r="E348" s="75"/>
      <c r="F348" s="75"/>
      <c r="G348" s="92">
        <f>886832+33000</f>
        <v>919832</v>
      </c>
      <c r="H348" s="92">
        <v>924010</v>
      </c>
      <c r="I348" s="92">
        <v>951891</v>
      </c>
      <c r="J348" s="217">
        <f t="shared" si="10"/>
        <v>1.0301739158667114</v>
      </c>
    </row>
    <row r="349" spans="1:10" ht="15.75" customHeight="1">
      <c r="A349" s="218"/>
      <c r="B349" s="75"/>
      <c r="C349" s="75"/>
      <c r="D349" s="77" t="s">
        <v>188</v>
      </c>
      <c r="E349" s="75"/>
      <c r="F349" s="75"/>
      <c r="G349" s="92">
        <v>32970</v>
      </c>
      <c r="H349" s="92">
        <v>27881</v>
      </c>
      <c r="I349" s="92">
        <v>27881</v>
      </c>
      <c r="J349" s="217">
        <f t="shared" si="10"/>
        <v>1</v>
      </c>
    </row>
    <row r="350" spans="1:10" ht="15.75" customHeight="1">
      <c r="A350" s="216" t="s">
        <v>27</v>
      </c>
      <c r="B350" s="72"/>
      <c r="C350" s="72" t="s">
        <v>28</v>
      </c>
      <c r="D350" s="72"/>
      <c r="E350" s="72"/>
      <c r="F350" s="75"/>
      <c r="G350" s="94">
        <f>G351+G354+G357+G362+G364</f>
        <v>1490000</v>
      </c>
      <c r="H350" s="94">
        <f>H351+H354+H357+H362+H364</f>
        <v>1257460</v>
      </c>
      <c r="I350" s="94">
        <f>I351+I354+I357+I362+I364</f>
        <v>571877</v>
      </c>
      <c r="J350" s="217">
        <f t="shared" si="10"/>
        <v>0.4547874286259603</v>
      </c>
    </row>
    <row r="351" spans="1:10" ht="15.75" customHeight="1">
      <c r="A351" s="220"/>
      <c r="B351" s="72" t="s">
        <v>189</v>
      </c>
      <c r="C351" s="82"/>
      <c r="D351" s="72" t="s">
        <v>190</v>
      </c>
      <c r="E351" s="83"/>
      <c r="F351" s="75"/>
      <c r="G351" s="94">
        <f>G352+G353</f>
        <v>380000</v>
      </c>
      <c r="H351" s="94">
        <f>H352+H353</f>
        <v>380000</v>
      </c>
      <c r="I351" s="94">
        <f>I352+I353</f>
        <v>86919</v>
      </c>
      <c r="J351" s="217">
        <f t="shared" si="10"/>
        <v>0.2287342105263158</v>
      </c>
    </row>
    <row r="352" spans="1:10" ht="15.75" customHeight="1">
      <c r="A352" s="218"/>
      <c r="B352" s="75"/>
      <c r="C352" s="75" t="s">
        <v>191</v>
      </c>
      <c r="D352" s="75" t="s">
        <v>192</v>
      </c>
      <c r="E352" s="81"/>
      <c r="F352" s="75"/>
      <c r="G352" s="92">
        <v>260000</v>
      </c>
      <c r="H352" s="92">
        <v>260000</v>
      </c>
      <c r="I352" s="92">
        <v>18136</v>
      </c>
      <c r="J352" s="217">
        <f t="shared" si="10"/>
        <v>0.06975384615384615</v>
      </c>
    </row>
    <row r="353" spans="1:10" ht="15.75" customHeight="1">
      <c r="A353" s="218"/>
      <c r="B353" s="75"/>
      <c r="C353" s="75" t="s">
        <v>194</v>
      </c>
      <c r="D353" s="75" t="s">
        <v>195</v>
      </c>
      <c r="E353" s="75"/>
      <c r="F353" s="75"/>
      <c r="G353" s="92">
        <v>120000</v>
      </c>
      <c r="H353" s="92">
        <v>120000</v>
      </c>
      <c r="I353" s="92">
        <v>68783</v>
      </c>
      <c r="J353" s="217">
        <f t="shared" si="10"/>
        <v>0.5731916666666667</v>
      </c>
    </row>
    <row r="354" spans="1:10" ht="15.75" customHeight="1">
      <c r="A354" s="220"/>
      <c r="B354" s="72" t="s">
        <v>197</v>
      </c>
      <c r="C354" s="82"/>
      <c r="D354" s="72" t="s">
        <v>198</v>
      </c>
      <c r="E354" s="82"/>
      <c r="F354" s="75"/>
      <c r="G354" s="94">
        <f>G355+G356</f>
        <v>170000</v>
      </c>
      <c r="H354" s="94">
        <f>H355+H356</f>
        <v>170000</v>
      </c>
      <c r="I354" s="94">
        <f>I355+I356</f>
        <v>86865</v>
      </c>
      <c r="J354" s="217">
        <f t="shared" si="10"/>
        <v>0.5109705882352941</v>
      </c>
    </row>
    <row r="355" spans="1:10" ht="15.75" customHeight="1">
      <c r="A355" s="218"/>
      <c r="B355" s="75"/>
      <c r="C355" s="75" t="s">
        <v>199</v>
      </c>
      <c r="D355" s="75" t="s">
        <v>200</v>
      </c>
      <c r="E355" s="75"/>
      <c r="F355" s="75"/>
      <c r="G355" s="92">
        <v>20000</v>
      </c>
      <c r="H355" s="92">
        <v>20000</v>
      </c>
      <c r="I355" s="92">
        <v>3917</v>
      </c>
      <c r="J355" s="217">
        <f t="shared" si="10"/>
        <v>0.19585</v>
      </c>
    </row>
    <row r="356" spans="1:10" ht="15.75" customHeight="1">
      <c r="A356" s="218"/>
      <c r="B356" s="75"/>
      <c r="C356" s="75" t="s">
        <v>201</v>
      </c>
      <c r="D356" s="75" t="s">
        <v>202</v>
      </c>
      <c r="E356" s="75"/>
      <c r="F356" s="75"/>
      <c r="G356" s="92">
        <v>150000</v>
      </c>
      <c r="H356" s="92">
        <v>150000</v>
      </c>
      <c r="I356" s="92">
        <v>82948</v>
      </c>
      <c r="J356" s="217">
        <f t="shared" si="10"/>
        <v>0.5529866666666666</v>
      </c>
    </row>
    <row r="357" spans="1:10" ht="15.75" customHeight="1">
      <c r="A357" s="220"/>
      <c r="B357" s="72" t="s">
        <v>203</v>
      </c>
      <c r="C357" s="82"/>
      <c r="D357" s="72" t="s">
        <v>204</v>
      </c>
      <c r="E357" s="82"/>
      <c r="F357" s="75"/>
      <c r="G357" s="94">
        <f>G358+G360+G361</f>
        <v>680000</v>
      </c>
      <c r="H357" s="94">
        <f>H358+H360+H361</f>
        <v>447460</v>
      </c>
      <c r="I357" s="94">
        <f>I358+I360+I361</f>
        <v>279219</v>
      </c>
      <c r="J357" s="217">
        <f t="shared" si="10"/>
        <v>0.6240088499530684</v>
      </c>
    </row>
    <row r="358" spans="1:10" ht="15.75" customHeight="1">
      <c r="A358" s="218"/>
      <c r="B358" s="75"/>
      <c r="C358" s="75" t="s">
        <v>205</v>
      </c>
      <c r="D358" s="75" t="s">
        <v>206</v>
      </c>
      <c r="E358" s="75"/>
      <c r="F358" s="75"/>
      <c r="G358" s="92">
        <f>SUM(G359:G359)</f>
        <v>300000</v>
      </c>
      <c r="H358" s="92">
        <f>SUM(H359:H359)</f>
        <v>300000</v>
      </c>
      <c r="I358" s="92">
        <f>SUM(I359:I359)</f>
        <v>248113</v>
      </c>
      <c r="J358" s="217">
        <f t="shared" si="10"/>
        <v>0.8270433333333334</v>
      </c>
    </row>
    <row r="359" spans="1:10" ht="15.75" customHeight="1">
      <c r="A359" s="218"/>
      <c r="B359" s="75"/>
      <c r="C359" s="75"/>
      <c r="D359" s="75"/>
      <c r="E359" s="77" t="s">
        <v>208</v>
      </c>
      <c r="F359" s="75"/>
      <c r="G359" s="92">
        <v>300000</v>
      </c>
      <c r="H359" s="92">
        <v>300000</v>
      </c>
      <c r="I359" s="92">
        <v>248113</v>
      </c>
      <c r="J359" s="217">
        <f t="shared" si="10"/>
        <v>0.8270433333333334</v>
      </c>
    </row>
    <row r="360" spans="1:10" ht="15.75" customHeight="1">
      <c r="A360" s="218"/>
      <c r="B360" s="75"/>
      <c r="C360" s="75" t="s">
        <v>212</v>
      </c>
      <c r="D360" s="75" t="s">
        <v>213</v>
      </c>
      <c r="E360" s="75"/>
      <c r="F360" s="75"/>
      <c r="G360" s="92">
        <v>100000</v>
      </c>
      <c r="H360" s="92">
        <v>100000</v>
      </c>
      <c r="I360" s="92">
        <v>2008</v>
      </c>
      <c r="J360" s="217">
        <f t="shared" si="10"/>
        <v>0.02008</v>
      </c>
    </row>
    <row r="361" spans="1:10" ht="15.75" customHeight="1">
      <c r="A361" s="218"/>
      <c r="B361" s="75"/>
      <c r="C361" s="75" t="s">
        <v>214</v>
      </c>
      <c r="D361" s="75" t="s">
        <v>215</v>
      </c>
      <c r="E361" s="75"/>
      <c r="F361" s="75"/>
      <c r="G361" s="92">
        <v>280000</v>
      </c>
      <c r="H361" s="92">
        <v>47460</v>
      </c>
      <c r="I361" s="92">
        <v>29098</v>
      </c>
      <c r="J361" s="217">
        <f t="shared" si="10"/>
        <v>0.6131057732827644</v>
      </c>
    </row>
    <row r="362" spans="1:10" ht="15.75" customHeight="1">
      <c r="A362" s="220"/>
      <c r="B362" s="72" t="s">
        <v>216</v>
      </c>
      <c r="C362" s="82"/>
      <c r="D362" s="72" t="s">
        <v>217</v>
      </c>
      <c r="E362" s="82"/>
      <c r="F362" s="75"/>
      <c r="G362" s="94">
        <f>G363</f>
        <v>10000</v>
      </c>
      <c r="H362" s="94">
        <f>H363</f>
        <v>10000</v>
      </c>
      <c r="I362" s="94">
        <f>I363</f>
        <v>0</v>
      </c>
      <c r="J362" s="217">
        <f t="shared" si="10"/>
        <v>0</v>
      </c>
    </row>
    <row r="363" spans="1:10" ht="15.75" customHeight="1">
      <c r="A363" s="218"/>
      <c r="B363" s="75"/>
      <c r="C363" s="75" t="s">
        <v>218</v>
      </c>
      <c r="D363" s="75" t="s">
        <v>219</v>
      </c>
      <c r="E363" s="75"/>
      <c r="F363" s="75"/>
      <c r="G363" s="92">
        <v>10000</v>
      </c>
      <c r="H363" s="92">
        <v>10000</v>
      </c>
      <c r="I363" s="92">
        <v>0</v>
      </c>
      <c r="J363" s="217">
        <f t="shared" si="10"/>
        <v>0</v>
      </c>
    </row>
    <row r="364" spans="1:10" ht="15.75" customHeight="1">
      <c r="A364" s="220"/>
      <c r="B364" s="72" t="s">
        <v>221</v>
      </c>
      <c r="C364" s="82"/>
      <c r="D364" s="72" t="s">
        <v>222</v>
      </c>
      <c r="E364" s="82"/>
      <c r="F364" s="75"/>
      <c r="G364" s="94">
        <f>G365</f>
        <v>250000</v>
      </c>
      <c r="H364" s="94">
        <f>H365</f>
        <v>250000</v>
      </c>
      <c r="I364" s="94">
        <f>I365</f>
        <v>118874</v>
      </c>
      <c r="J364" s="217">
        <f t="shared" si="10"/>
        <v>0.475496</v>
      </c>
    </row>
    <row r="365" spans="1:10" ht="15.75" customHeight="1">
      <c r="A365" s="218"/>
      <c r="B365" s="75"/>
      <c r="C365" s="75" t="s">
        <v>223</v>
      </c>
      <c r="D365" s="75" t="s">
        <v>224</v>
      </c>
      <c r="E365" s="75"/>
      <c r="F365" s="75"/>
      <c r="G365" s="92">
        <v>250000</v>
      </c>
      <c r="H365" s="92">
        <v>250000</v>
      </c>
      <c r="I365" s="92">
        <v>118874</v>
      </c>
      <c r="J365" s="217">
        <f t="shared" si="10"/>
        <v>0.475496</v>
      </c>
    </row>
    <row r="366" spans="1:10" ht="15.75" customHeight="1">
      <c r="A366" s="216" t="s">
        <v>34</v>
      </c>
      <c r="B366" s="72"/>
      <c r="C366" s="72" t="s">
        <v>35</v>
      </c>
      <c r="D366" s="75"/>
      <c r="E366" s="75"/>
      <c r="F366" s="75"/>
      <c r="G366" s="92"/>
      <c r="H366" s="94">
        <f>SUM(H367:H368)</f>
        <v>232540</v>
      </c>
      <c r="I366" s="94">
        <f>SUM(I367:I368)</f>
        <v>232540</v>
      </c>
      <c r="J366" s="217">
        <f t="shared" si="10"/>
        <v>1</v>
      </c>
    </row>
    <row r="367" spans="1:10" ht="15.75" customHeight="1">
      <c r="A367" s="218"/>
      <c r="B367" s="72" t="s">
        <v>386</v>
      </c>
      <c r="C367" s="75"/>
      <c r="D367" s="75" t="s">
        <v>452</v>
      </c>
      <c r="E367" s="75"/>
      <c r="F367" s="75"/>
      <c r="G367" s="92"/>
      <c r="H367" s="92">
        <v>183102</v>
      </c>
      <c r="I367" s="92">
        <v>183102</v>
      </c>
      <c r="J367" s="217">
        <f t="shared" si="10"/>
        <v>1</v>
      </c>
    </row>
    <row r="368" spans="1:10" ht="15.75" customHeight="1">
      <c r="A368" s="218"/>
      <c r="B368" s="72" t="s">
        <v>261</v>
      </c>
      <c r="C368" s="75"/>
      <c r="D368" s="75" t="s">
        <v>453</v>
      </c>
      <c r="E368" s="75"/>
      <c r="F368" s="75"/>
      <c r="G368" s="92"/>
      <c r="H368" s="65">
        <v>49438</v>
      </c>
      <c r="I368" s="65">
        <v>49438</v>
      </c>
      <c r="J368" s="217">
        <f t="shared" si="10"/>
        <v>1</v>
      </c>
    </row>
    <row r="369" spans="1:10" ht="15.75" customHeight="1">
      <c r="A369" s="218"/>
      <c r="B369" s="75"/>
      <c r="C369" s="75"/>
      <c r="D369" s="75"/>
      <c r="E369" s="75"/>
      <c r="F369" s="75"/>
      <c r="G369" s="92"/>
      <c r="H369" s="65"/>
      <c r="I369" s="127"/>
      <c r="J369" s="217"/>
    </row>
    <row r="370" spans="1:10" ht="15.75" customHeight="1">
      <c r="A370" s="176" t="s">
        <v>298</v>
      </c>
      <c r="B370" s="88"/>
      <c r="C370" s="88"/>
      <c r="D370" s="88"/>
      <c r="E370" s="88"/>
      <c r="F370" s="88"/>
      <c r="G370" s="91">
        <f>SUM(G371)</f>
        <v>860000</v>
      </c>
      <c r="H370" s="91">
        <f>SUM(H371)</f>
        <v>860000</v>
      </c>
      <c r="I370" s="91">
        <f>SUM(I371)</f>
        <v>509952</v>
      </c>
      <c r="J370" s="217">
        <f t="shared" si="10"/>
        <v>0.5929674418604651</v>
      </c>
    </row>
    <row r="371" spans="1:10" ht="15.75" customHeight="1">
      <c r="A371" s="216" t="s">
        <v>27</v>
      </c>
      <c r="B371" s="72"/>
      <c r="C371" s="72" t="s">
        <v>28</v>
      </c>
      <c r="D371" s="72"/>
      <c r="E371" s="72"/>
      <c r="F371" s="72"/>
      <c r="G371" s="94">
        <f>G372+G374+G380</f>
        <v>860000</v>
      </c>
      <c r="H371" s="94">
        <f>H372+H374+H380</f>
        <v>860000</v>
      </c>
      <c r="I371" s="94">
        <f>I372+I374+I380</f>
        <v>509952</v>
      </c>
      <c r="J371" s="217">
        <f t="shared" si="10"/>
        <v>0.5929674418604651</v>
      </c>
    </row>
    <row r="372" spans="1:10" ht="15.75" customHeight="1">
      <c r="A372" s="220"/>
      <c r="B372" s="72" t="s">
        <v>189</v>
      </c>
      <c r="C372" s="82"/>
      <c r="D372" s="72" t="s">
        <v>190</v>
      </c>
      <c r="E372" s="83"/>
      <c r="F372" s="72"/>
      <c r="G372" s="92">
        <f>G373</f>
        <v>20000</v>
      </c>
      <c r="H372" s="92">
        <f>H373</f>
        <v>20000</v>
      </c>
      <c r="I372" s="92">
        <f>I373</f>
        <v>0</v>
      </c>
      <c r="J372" s="217">
        <f t="shared" si="10"/>
        <v>0</v>
      </c>
    </row>
    <row r="373" spans="1:10" ht="15.75" customHeight="1">
      <c r="A373" s="218"/>
      <c r="B373" s="75"/>
      <c r="C373" s="75" t="s">
        <v>194</v>
      </c>
      <c r="D373" s="75" t="s">
        <v>195</v>
      </c>
      <c r="E373" s="75"/>
      <c r="F373" s="75"/>
      <c r="G373" s="92">
        <v>20000</v>
      </c>
      <c r="H373" s="92">
        <v>20000</v>
      </c>
      <c r="I373" s="92">
        <v>0</v>
      </c>
      <c r="J373" s="217">
        <f t="shared" si="10"/>
        <v>0</v>
      </c>
    </row>
    <row r="374" spans="1:10" ht="15.75" customHeight="1">
      <c r="A374" s="220"/>
      <c r="B374" s="72" t="s">
        <v>203</v>
      </c>
      <c r="C374" s="82"/>
      <c r="D374" s="72" t="s">
        <v>204</v>
      </c>
      <c r="E374" s="82"/>
      <c r="F374" s="75"/>
      <c r="G374" s="94">
        <f>G375+G378+G379</f>
        <v>700000</v>
      </c>
      <c r="H374" s="94">
        <f>H375+H378+H379</f>
        <v>700000</v>
      </c>
      <c r="I374" s="94">
        <f>I375+I378+I379</f>
        <v>402915</v>
      </c>
      <c r="J374" s="217">
        <f t="shared" si="10"/>
        <v>0.5755928571428571</v>
      </c>
    </row>
    <row r="375" spans="1:10" ht="15.75" customHeight="1">
      <c r="A375" s="218"/>
      <c r="B375" s="75"/>
      <c r="C375" s="75" t="s">
        <v>205</v>
      </c>
      <c r="D375" s="75" t="s">
        <v>206</v>
      </c>
      <c r="E375" s="75"/>
      <c r="F375" s="75"/>
      <c r="G375" s="92">
        <f>SUM(G376:G377)</f>
        <v>200000</v>
      </c>
      <c r="H375" s="92">
        <f>SUM(H376:H377)</f>
        <v>402915</v>
      </c>
      <c r="I375" s="92">
        <f>SUM(I376:I377)</f>
        <v>402915</v>
      </c>
      <c r="J375" s="217">
        <f t="shared" si="10"/>
        <v>1</v>
      </c>
    </row>
    <row r="376" spans="1:10" ht="15.75" customHeight="1">
      <c r="A376" s="218"/>
      <c r="B376" s="75"/>
      <c r="C376" s="75"/>
      <c r="D376" s="75"/>
      <c r="E376" s="77" t="s">
        <v>207</v>
      </c>
      <c r="F376" s="75"/>
      <c r="G376" s="92">
        <v>100000</v>
      </c>
      <c r="H376" s="92">
        <v>202915</v>
      </c>
      <c r="I376" s="92">
        <v>202915</v>
      </c>
      <c r="J376" s="217">
        <f t="shared" si="10"/>
        <v>1</v>
      </c>
    </row>
    <row r="377" spans="1:10" ht="15.75" customHeight="1">
      <c r="A377" s="218"/>
      <c r="B377" s="75"/>
      <c r="C377" s="75"/>
      <c r="D377" s="75"/>
      <c r="E377" s="77" t="s">
        <v>209</v>
      </c>
      <c r="F377" s="75"/>
      <c r="G377" s="92">
        <v>100000</v>
      </c>
      <c r="H377" s="92">
        <v>200000</v>
      </c>
      <c r="I377" s="92">
        <v>200000</v>
      </c>
      <c r="J377" s="217">
        <f t="shared" si="10"/>
        <v>1</v>
      </c>
    </row>
    <row r="378" spans="1:10" ht="15.75" customHeight="1">
      <c r="A378" s="218"/>
      <c r="B378" s="75"/>
      <c r="C378" s="75" t="s">
        <v>212</v>
      </c>
      <c r="D378" s="75" t="s">
        <v>213</v>
      </c>
      <c r="E378" s="75"/>
      <c r="F378" s="75"/>
      <c r="G378" s="92">
        <v>300000</v>
      </c>
      <c r="H378" s="92">
        <v>97085</v>
      </c>
      <c r="I378" s="92">
        <v>0</v>
      </c>
      <c r="J378" s="217">
        <f t="shared" si="10"/>
        <v>0</v>
      </c>
    </row>
    <row r="379" spans="1:10" ht="15.75" customHeight="1">
      <c r="A379" s="218"/>
      <c r="B379" s="75"/>
      <c r="C379" s="75" t="s">
        <v>214</v>
      </c>
      <c r="D379" s="75" t="s">
        <v>215</v>
      </c>
      <c r="E379" s="75"/>
      <c r="F379" s="75"/>
      <c r="G379" s="92">
        <v>200000</v>
      </c>
      <c r="H379" s="92">
        <v>200000</v>
      </c>
      <c r="I379" s="92">
        <v>0</v>
      </c>
      <c r="J379" s="217">
        <f t="shared" si="10"/>
        <v>0</v>
      </c>
    </row>
    <row r="380" spans="1:10" ht="15.75" customHeight="1">
      <c r="A380" s="220"/>
      <c r="B380" s="72" t="s">
        <v>221</v>
      </c>
      <c r="C380" s="82"/>
      <c r="D380" s="72" t="s">
        <v>222</v>
      </c>
      <c r="E380" s="82"/>
      <c r="F380" s="75"/>
      <c r="G380" s="94">
        <f>G381</f>
        <v>140000</v>
      </c>
      <c r="H380" s="94">
        <f>H381</f>
        <v>140000</v>
      </c>
      <c r="I380" s="94">
        <f>I381</f>
        <v>107037</v>
      </c>
      <c r="J380" s="217">
        <f t="shared" si="10"/>
        <v>0.76455</v>
      </c>
    </row>
    <row r="381" spans="1:10" ht="15.75" customHeight="1">
      <c r="A381" s="218"/>
      <c r="B381" s="75"/>
      <c r="C381" s="75" t="s">
        <v>223</v>
      </c>
      <c r="D381" s="75" t="s">
        <v>224</v>
      </c>
      <c r="E381" s="75"/>
      <c r="F381" s="75"/>
      <c r="G381" s="92">
        <v>140000</v>
      </c>
      <c r="H381" s="92">
        <v>140000</v>
      </c>
      <c r="I381" s="92">
        <v>107037</v>
      </c>
      <c r="J381" s="217">
        <f t="shared" si="10"/>
        <v>0.76455</v>
      </c>
    </row>
    <row r="382" spans="1:10" ht="15.75" customHeight="1">
      <c r="A382" s="218"/>
      <c r="B382" s="75"/>
      <c r="C382" s="75"/>
      <c r="D382" s="75"/>
      <c r="E382" s="75"/>
      <c r="F382" s="75"/>
      <c r="G382" s="92"/>
      <c r="H382" s="65"/>
      <c r="I382" s="127"/>
      <c r="J382" s="217"/>
    </row>
    <row r="383" spans="1:10" ht="15.75" customHeight="1">
      <c r="A383" s="176" t="s">
        <v>299</v>
      </c>
      <c r="B383" s="88"/>
      <c r="C383" s="88"/>
      <c r="D383" s="88"/>
      <c r="E383" s="88"/>
      <c r="F383" s="88"/>
      <c r="G383" s="91">
        <f>SUM(G384)</f>
        <v>2000000</v>
      </c>
      <c r="H383" s="91">
        <f>SUM(H384)</f>
        <v>2000000</v>
      </c>
      <c r="I383" s="91">
        <f>SUM(I384)</f>
        <v>2000000</v>
      </c>
      <c r="J383" s="192">
        <f t="shared" si="10"/>
        <v>1</v>
      </c>
    </row>
    <row r="384" spans="1:10" ht="15.75" customHeight="1">
      <c r="A384" s="216" t="s">
        <v>31</v>
      </c>
      <c r="B384" s="72"/>
      <c r="C384" s="72" t="s">
        <v>32</v>
      </c>
      <c r="D384" s="72"/>
      <c r="E384" s="72"/>
      <c r="F384" s="75"/>
      <c r="G384" s="92">
        <f>G385</f>
        <v>2000000</v>
      </c>
      <c r="H384" s="92">
        <f>H385</f>
        <v>2000000</v>
      </c>
      <c r="I384" s="92">
        <f>I385</f>
        <v>2000000</v>
      </c>
      <c r="J384" s="217">
        <f t="shared" si="10"/>
        <v>1</v>
      </c>
    </row>
    <row r="385" spans="1:10" ht="15.75" customHeight="1">
      <c r="A385" s="218"/>
      <c r="B385" s="75"/>
      <c r="C385" s="75" t="s">
        <v>232</v>
      </c>
      <c r="D385" s="75" t="s">
        <v>233</v>
      </c>
      <c r="E385" s="75"/>
      <c r="F385" s="75"/>
      <c r="G385" s="93">
        <v>2000000</v>
      </c>
      <c r="H385" s="93">
        <v>2000000</v>
      </c>
      <c r="I385" s="93">
        <v>2000000</v>
      </c>
      <c r="J385" s="217">
        <f t="shared" si="10"/>
        <v>1</v>
      </c>
    </row>
    <row r="386" spans="1:10" ht="15.75" customHeight="1">
      <c r="A386" s="218"/>
      <c r="B386" s="75"/>
      <c r="C386" s="75"/>
      <c r="D386" s="75"/>
      <c r="E386" s="75"/>
      <c r="F386" s="75"/>
      <c r="G386" s="93"/>
      <c r="H386" s="65"/>
      <c r="I386" s="127"/>
      <c r="J386" s="217"/>
    </row>
    <row r="387" spans="1:10" ht="15.75" customHeight="1">
      <c r="A387" s="176" t="s">
        <v>124</v>
      </c>
      <c r="B387" s="88"/>
      <c r="C387" s="88"/>
      <c r="D387" s="88"/>
      <c r="E387" s="88"/>
      <c r="F387" s="98">
        <v>4</v>
      </c>
      <c r="G387" s="91">
        <f>G388+G399+G402+G422+G418</f>
        <v>85909105</v>
      </c>
      <c r="H387" s="91">
        <f>H388+H399+H402+H422+H418</f>
        <v>77658790</v>
      </c>
      <c r="I387" s="91">
        <f>I388+I399+I402+I422+I418</f>
        <v>70066562</v>
      </c>
      <c r="J387" s="192">
        <f t="shared" si="10"/>
        <v>0.9022360765600391</v>
      </c>
    </row>
    <row r="388" spans="1:10" ht="15.75" customHeight="1">
      <c r="A388" s="216" t="s">
        <v>23</v>
      </c>
      <c r="B388" s="72"/>
      <c r="C388" s="72" t="s">
        <v>169</v>
      </c>
      <c r="D388" s="72"/>
      <c r="E388" s="72"/>
      <c r="F388" s="75"/>
      <c r="G388" s="94">
        <f>SUM(G389)</f>
        <v>9959000</v>
      </c>
      <c r="H388" s="94">
        <f>H389+H396</f>
        <v>11209000</v>
      </c>
      <c r="I388" s="94">
        <f>I389+I396</f>
        <v>10893570</v>
      </c>
      <c r="J388" s="217">
        <f t="shared" si="10"/>
        <v>0.9718592202694264</v>
      </c>
    </row>
    <row r="389" spans="1:10" ht="15.75" customHeight="1">
      <c r="A389" s="218"/>
      <c r="B389" s="72" t="s">
        <v>170</v>
      </c>
      <c r="C389" s="72"/>
      <c r="D389" s="72" t="s">
        <v>171</v>
      </c>
      <c r="E389" s="72"/>
      <c r="F389" s="75"/>
      <c r="G389" s="94">
        <f>SUM(G390:G395)</f>
        <v>9959000</v>
      </c>
      <c r="H389" s="94">
        <f>SUM(H390:H395)</f>
        <v>9659000</v>
      </c>
      <c r="I389" s="94">
        <f>SUM(I390:I395)</f>
        <v>9389386</v>
      </c>
      <c r="J389" s="217">
        <f t="shared" si="10"/>
        <v>0.972086758463609</v>
      </c>
    </row>
    <row r="390" spans="1:10" ht="15.75" customHeight="1">
      <c r="A390" s="219"/>
      <c r="B390" s="75"/>
      <c r="C390" s="75" t="s">
        <v>172</v>
      </c>
      <c r="D390" s="75" t="s">
        <v>173</v>
      </c>
      <c r="E390" s="75"/>
      <c r="F390" s="75"/>
      <c r="G390" s="92">
        <v>7293000</v>
      </c>
      <c r="H390" s="92">
        <v>7476265</v>
      </c>
      <c r="I390" s="92">
        <v>7476265</v>
      </c>
      <c r="J390" s="217">
        <f t="shared" si="10"/>
        <v>1</v>
      </c>
    </row>
    <row r="391" spans="1:10" ht="15.75" customHeight="1">
      <c r="A391" s="219"/>
      <c r="B391" s="75"/>
      <c r="C391" s="75" t="s">
        <v>359</v>
      </c>
      <c r="D391" s="75" t="s">
        <v>363</v>
      </c>
      <c r="E391" s="75"/>
      <c r="F391" s="75"/>
      <c r="G391" s="92">
        <v>600000</v>
      </c>
      <c r="H391" s="92">
        <v>600000</v>
      </c>
      <c r="I391" s="92">
        <v>427000</v>
      </c>
      <c r="J391" s="217">
        <f t="shared" si="10"/>
        <v>0.7116666666666667</v>
      </c>
    </row>
    <row r="392" spans="1:10" ht="15.75" customHeight="1">
      <c r="A392" s="219"/>
      <c r="B392" s="75"/>
      <c r="C392" s="75" t="s">
        <v>266</v>
      </c>
      <c r="D392" s="75" t="s">
        <v>267</v>
      </c>
      <c r="E392" s="75"/>
      <c r="F392" s="75"/>
      <c r="G392" s="92">
        <v>1000000</v>
      </c>
      <c r="H392" s="92">
        <v>700000</v>
      </c>
      <c r="I392" s="92">
        <v>685379</v>
      </c>
      <c r="J392" s="217">
        <f t="shared" si="10"/>
        <v>0.9791128571428571</v>
      </c>
    </row>
    <row r="393" spans="1:10" ht="15.75" customHeight="1">
      <c r="A393" s="218"/>
      <c r="B393" s="75"/>
      <c r="C393" s="75" t="s">
        <v>174</v>
      </c>
      <c r="D393" s="75" t="s">
        <v>175</v>
      </c>
      <c r="E393" s="75"/>
      <c r="F393" s="75"/>
      <c r="G393" s="92">
        <v>596000</v>
      </c>
      <c r="H393" s="92">
        <v>596000</v>
      </c>
      <c r="I393" s="92">
        <v>552426</v>
      </c>
      <c r="J393" s="217">
        <f t="shared" si="10"/>
        <v>0.9268892617449664</v>
      </c>
    </row>
    <row r="394" spans="1:10" ht="15.75" customHeight="1">
      <c r="A394" s="218"/>
      <c r="B394" s="75"/>
      <c r="C394" s="75" t="s">
        <v>286</v>
      </c>
      <c r="D394" s="75" t="s">
        <v>287</v>
      </c>
      <c r="E394" s="75"/>
      <c r="F394" s="75"/>
      <c r="G394" s="92">
        <v>70000</v>
      </c>
      <c r="H394" s="92">
        <v>70000</v>
      </c>
      <c r="I394" s="92">
        <v>44520</v>
      </c>
      <c r="J394" s="217">
        <f t="shared" si="10"/>
        <v>0.636</v>
      </c>
    </row>
    <row r="395" spans="1:10" ht="15.75" customHeight="1">
      <c r="A395" s="218"/>
      <c r="B395" s="75"/>
      <c r="C395" s="74" t="s">
        <v>254</v>
      </c>
      <c r="D395" s="75" t="s">
        <v>365</v>
      </c>
      <c r="E395" s="75"/>
      <c r="F395" s="75"/>
      <c r="G395" s="92">
        <v>400000</v>
      </c>
      <c r="H395" s="92">
        <v>216735</v>
      </c>
      <c r="I395" s="92">
        <v>203796</v>
      </c>
      <c r="J395" s="217">
        <f t="shared" si="10"/>
        <v>0.9403003668073915</v>
      </c>
    </row>
    <row r="396" spans="1:10" ht="15.75" customHeight="1">
      <c r="A396" s="218"/>
      <c r="B396" s="72" t="s">
        <v>176</v>
      </c>
      <c r="C396" s="71"/>
      <c r="D396" s="72" t="s">
        <v>296</v>
      </c>
      <c r="E396" s="72"/>
      <c r="F396" s="75"/>
      <c r="G396" s="92"/>
      <c r="H396" s="92">
        <f>SUM(H397:H398)</f>
        <v>1550000</v>
      </c>
      <c r="I396" s="92">
        <f>SUM(I397:I398)</f>
        <v>1504184</v>
      </c>
      <c r="J396" s="217">
        <f t="shared" si="10"/>
        <v>0.9704412903225806</v>
      </c>
    </row>
    <row r="397" spans="1:10" ht="15.75" customHeight="1">
      <c r="A397" s="218"/>
      <c r="B397" s="75"/>
      <c r="C397" s="74" t="s">
        <v>288</v>
      </c>
      <c r="D397" s="75" t="s">
        <v>297</v>
      </c>
      <c r="E397" s="75"/>
      <c r="F397" s="75"/>
      <c r="G397" s="92"/>
      <c r="H397" s="92">
        <v>1250000</v>
      </c>
      <c r="I397" s="92">
        <v>1213034</v>
      </c>
      <c r="J397" s="217">
        <f aca="true" t="shared" si="11" ref="J397:J460">I397/H397</f>
        <v>0.9704272</v>
      </c>
    </row>
    <row r="398" spans="1:10" ht="15.75" customHeight="1">
      <c r="A398" s="218"/>
      <c r="B398" s="75"/>
      <c r="C398" s="74" t="s">
        <v>184</v>
      </c>
      <c r="D398" s="75" t="s">
        <v>185</v>
      </c>
      <c r="E398" s="75"/>
      <c r="F398" s="75"/>
      <c r="G398" s="92"/>
      <c r="H398" s="92">
        <v>300000</v>
      </c>
      <c r="I398" s="92">
        <v>291150</v>
      </c>
      <c r="J398" s="217">
        <f t="shared" si="11"/>
        <v>0.9705</v>
      </c>
    </row>
    <row r="399" spans="1:10" ht="15.75" customHeight="1">
      <c r="A399" s="216" t="s">
        <v>25</v>
      </c>
      <c r="B399" s="72"/>
      <c r="C399" s="72" t="s">
        <v>186</v>
      </c>
      <c r="D399" s="79"/>
      <c r="E399" s="79"/>
      <c r="F399" s="75"/>
      <c r="G399" s="94">
        <f>SUM(G400:G401)</f>
        <v>1770105</v>
      </c>
      <c r="H399" s="94">
        <f>SUM(H400:H401)</f>
        <v>2089105</v>
      </c>
      <c r="I399" s="94">
        <f>SUM(I400:I401)</f>
        <v>2345319</v>
      </c>
      <c r="J399" s="217">
        <f t="shared" si="11"/>
        <v>1.1226429499713992</v>
      </c>
    </row>
    <row r="400" spans="1:10" ht="15.75" customHeight="1">
      <c r="A400" s="218"/>
      <c r="B400" s="75"/>
      <c r="C400" s="75"/>
      <c r="D400" s="77" t="s">
        <v>187</v>
      </c>
      <c r="E400" s="75"/>
      <c r="F400" s="75"/>
      <c r="G400" s="92">
        <f>1563705+117000</f>
        <v>1680705</v>
      </c>
      <c r="H400" s="92">
        <f>1563705+117000+58000+213000</f>
        <v>1951705</v>
      </c>
      <c r="I400" s="92">
        <v>2099019</v>
      </c>
      <c r="J400" s="217">
        <f t="shared" si="11"/>
        <v>1.0754796447208979</v>
      </c>
    </row>
    <row r="401" spans="1:10" ht="15.75" customHeight="1">
      <c r="A401" s="218"/>
      <c r="B401" s="75"/>
      <c r="C401" s="75"/>
      <c r="D401" s="77" t="s">
        <v>188</v>
      </c>
      <c r="E401" s="75"/>
      <c r="F401" s="75"/>
      <c r="G401" s="92">
        <v>89400</v>
      </c>
      <c r="H401" s="92">
        <f>89400+48000</f>
        <v>137400</v>
      </c>
      <c r="I401" s="92">
        <v>246300</v>
      </c>
      <c r="J401" s="217">
        <f t="shared" si="11"/>
        <v>1.7925764192139737</v>
      </c>
    </row>
    <row r="402" spans="1:10" ht="15.75" customHeight="1">
      <c r="A402" s="216" t="s">
        <v>27</v>
      </c>
      <c r="B402" s="72"/>
      <c r="C402" s="72" t="s">
        <v>28</v>
      </c>
      <c r="D402" s="72"/>
      <c r="E402" s="72"/>
      <c r="F402" s="75"/>
      <c r="G402" s="94">
        <f>G403+G406+G409+G415</f>
        <v>28180000</v>
      </c>
      <c r="H402" s="94">
        <f>H403+H406+H409+H415</f>
        <v>39070513</v>
      </c>
      <c r="I402" s="94">
        <f>I403+I406+I409+I415</f>
        <v>31737519</v>
      </c>
      <c r="J402" s="217">
        <f t="shared" si="11"/>
        <v>0.8123138541846123</v>
      </c>
    </row>
    <row r="403" spans="1:10" ht="15.75" customHeight="1">
      <c r="A403" s="220"/>
      <c r="B403" s="72" t="s">
        <v>189</v>
      </c>
      <c r="C403" s="77"/>
      <c r="D403" s="72" t="s">
        <v>190</v>
      </c>
      <c r="E403" s="81"/>
      <c r="F403" s="75"/>
      <c r="G403" s="94">
        <f>G404+G405</f>
        <v>5470000</v>
      </c>
      <c r="H403" s="94">
        <f>H404+H405</f>
        <v>5470000</v>
      </c>
      <c r="I403" s="94">
        <f>I404+I405</f>
        <v>3829650</v>
      </c>
      <c r="J403" s="217">
        <f t="shared" si="11"/>
        <v>0.7001188299817185</v>
      </c>
    </row>
    <row r="404" spans="1:10" ht="15.75" customHeight="1">
      <c r="A404" s="218"/>
      <c r="B404" s="75"/>
      <c r="C404" s="75" t="s">
        <v>191</v>
      </c>
      <c r="D404" s="75" t="s">
        <v>192</v>
      </c>
      <c r="E404" s="81"/>
      <c r="F404" s="75"/>
      <c r="G404" s="92">
        <v>470000</v>
      </c>
      <c r="H404" s="92">
        <v>470000</v>
      </c>
      <c r="I404" s="92">
        <v>87458</v>
      </c>
      <c r="J404" s="217">
        <f t="shared" si="11"/>
        <v>0.1860808510638298</v>
      </c>
    </row>
    <row r="405" spans="1:10" ht="15.75" customHeight="1">
      <c r="A405" s="218"/>
      <c r="B405" s="75"/>
      <c r="C405" s="75" t="s">
        <v>194</v>
      </c>
      <c r="D405" s="75" t="s">
        <v>195</v>
      </c>
      <c r="E405" s="75"/>
      <c r="F405" s="75"/>
      <c r="G405" s="92">
        <v>5000000</v>
      </c>
      <c r="H405" s="92">
        <v>5000000</v>
      </c>
      <c r="I405" s="92">
        <v>3742192</v>
      </c>
      <c r="J405" s="217">
        <f t="shared" si="11"/>
        <v>0.7484384</v>
      </c>
    </row>
    <row r="406" spans="1:10" ht="15.75" customHeight="1">
      <c r="A406" s="220"/>
      <c r="B406" s="72" t="s">
        <v>197</v>
      </c>
      <c r="C406" s="77"/>
      <c r="D406" s="72" t="s">
        <v>198</v>
      </c>
      <c r="E406" s="77"/>
      <c r="F406" s="75"/>
      <c r="G406" s="94">
        <f>G407+G408</f>
        <v>260000</v>
      </c>
      <c r="H406" s="94">
        <f>H407+H408</f>
        <v>260000</v>
      </c>
      <c r="I406" s="94">
        <f>I407+I408</f>
        <v>81218</v>
      </c>
      <c r="J406" s="217">
        <f t="shared" si="11"/>
        <v>0.31237692307692305</v>
      </c>
    </row>
    <row r="407" spans="1:10" ht="15.75" customHeight="1">
      <c r="A407" s="218"/>
      <c r="B407" s="75"/>
      <c r="C407" s="75" t="s">
        <v>199</v>
      </c>
      <c r="D407" s="75" t="s">
        <v>200</v>
      </c>
      <c r="E407" s="75"/>
      <c r="F407" s="75"/>
      <c r="G407" s="92">
        <v>180000</v>
      </c>
      <c r="H407" s="92">
        <v>180000</v>
      </c>
      <c r="I407" s="92">
        <v>32090</v>
      </c>
      <c r="J407" s="217">
        <f t="shared" si="11"/>
        <v>0.17827777777777779</v>
      </c>
    </row>
    <row r="408" spans="1:10" ht="15.75" customHeight="1">
      <c r="A408" s="218"/>
      <c r="B408" s="75"/>
      <c r="C408" s="75" t="s">
        <v>201</v>
      </c>
      <c r="D408" s="75" t="s">
        <v>202</v>
      </c>
      <c r="E408" s="75"/>
      <c r="F408" s="75"/>
      <c r="G408" s="92">
        <v>80000</v>
      </c>
      <c r="H408" s="92">
        <v>80000</v>
      </c>
      <c r="I408" s="92">
        <v>49128</v>
      </c>
      <c r="J408" s="217">
        <f t="shared" si="11"/>
        <v>0.6141</v>
      </c>
    </row>
    <row r="409" spans="1:10" ht="15.75" customHeight="1">
      <c r="A409" s="220"/>
      <c r="B409" s="72" t="s">
        <v>203</v>
      </c>
      <c r="C409" s="77"/>
      <c r="D409" s="72" t="s">
        <v>204</v>
      </c>
      <c r="E409" s="77"/>
      <c r="F409" s="75"/>
      <c r="G409" s="94">
        <f>G410+G413+G414</f>
        <v>10000000</v>
      </c>
      <c r="H409" s="94">
        <f>H410+H413+H414</f>
        <v>14342485</v>
      </c>
      <c r="I409" s="94">
        <f>I410+I413+I414</f>
        <v>14059575</v>
      </c>
      <c r="J409" s="217">
        <f t="shared" si="11"/>
        <v>0.980274687405983</v>
      </c>
    </row>
    <row r="410" spans="1:10" ht="15.75" customHeight="1">
      <c r="A410" s="218"/>
      <c r="B410" s="75"/>
      <c r="C410" s="75" t="s">
        <v>205</v>
      </c>
      <c r="D410" s="75" t="s">
        <v>206</v>
      </c>
      <c r="E410" s="75"/>
      <c r="F410" s="75"/>
      <c r="G410" s="92">
        <f>SUM(G411:G412)</f>
        <v>2500000</v>
      </c>
      <c r="H410" s="92">
        <f>SUM(H411:H412)</f>
        <v>2038260</v>
      </c>
      <c r="I410" s="92">
        <f>SUM(I411:I412)</f>
        <v>2023848</v>
      </c>
      <c r="J410" s="217">
        <f t="shared" si="11"/>
        <v>0.9929292631950781</v>
      </c>
    </row>
    <row r="411" spans="1:10" ht="15.75" customHeight="1">
      <c r="A411" s="218"/>
      <c r="B411" s="75"/>
      <c r="C411" s="75"/>
      <c r="D411" s="75"/>
      <c r="E411" s="77" t="s">
        <v>207</v>
      </c>
      <c r="F411" s="75"/>
      <c r="G411" s="92">
        <v>400000</v>
      </c>
      <c r="H411" s="92">
        <v>400000</v>
      </c>
      <c r="I411" s="92">
        <v>400000</v>
      </c>
      <c r="J411" s="217">
        <f t="shared" si="11"/>
        <v>1</v>
      </c>
    </row>
    <row r="412" spans="1:10" ht="15.75" customHeight="1">
      <c r="A412" s="218"/>
      <c r="B412" s="75"/>
      <c r="C412" s="75"/>
      <c r="D412" s="75"/>
      <c r="E412" s="77" t="s">
        <v>209</v>
      </c>
      <c r="F412" s="75"/>
      <c r="G412" s="92">
        <v>2100000</v>
      </c>
      <c r="H412" s="92">
        <v>1638260</v>
      </c>
      <c r="I412" s="92">
        <v>1623848</v>
      </c>
      <c r="J412" s="217">
        <f t="shared" si="11"/>
        <v>0.9912028615726441</v>
      </c>
    </row>
    <row r="413" spans="1:10" ht="15.75" customHeight="1">
      <c r="A413" s="218"/>
      <c r="B413" s="75"/>
      <c r="C413" s="75" t="s">
        <v>212</v>
      </c>
      <c r="D413" s="75" t="s">
        <v>213</v>
      </c>
      <c r="E413" s="75"/>
      <c r="F413" s="75"/>
      <c r="G413" s="92">
        <v>1000000</v>
      </c>
      <c r="H413" s="92">
        <v>4304225</v>
      </c>
      <c r="I413" s="92">
        <v>4304225</v>
      </c>
      <c r="J413" s="217">
        <f t="shared" si="11"/>
        <v>1</v>
      </c>
    </row>
    <row r="414" spans="1:10" ht="15.75" customHeight="1">
      <c r="A414" s="218"/>
      <c r="B414" s="75"/>
      <c r="C414" s="75" t="s">
        <v>214</v>
      </c>
      <c r="D414" s="75" t="s">
        <v>215</v>
      </c>
      <c r="E414" s="75"/>
      <c r="F414" s="75"/>
      <c r="G414" s="92">
        <v>6500000</v>
      </c>
      <c r="H414" s="92">
        <v>8000000</v>
      </c>
      <c r="I414" s="92">
        <v>7731502</v>
      </c>
      <c r="J414" s="217">
        <f t="shared" si="11"/>
        <v>0.96643775</v>
      </c>
    </row>
    <row r="415" spans="1:10" ht="15.75" customHeight="1">
      <c r="A415" s="220"/>
      <c r="B415" s="72" t="s">
        <v>221</v>
      </c>
      <c r="C415" s="82"/>
      <c r="D415" s="72" t="s">
        <v>222</v>
      </c>
      <c r="E415" s="82"/>
      <c r="F415" s="75"/>
      <c r="G415" s="94">
        <f>SUM(G416:G417)</f>
        <v>12450000</v>
      </c>
      <c r="H415" s="94">
        <f>SUM(H416:H417)</f>
        <v>18998028</v>
      </c>
      <c r="I415" s="94">
        <f>SUM(I416:I417)</f>
        <v>13767076</v>
      </c>
      <c r="J415" s="217">
        <f t="shared" si="11"/>
        <v>0.7246581592573713</v>
      </c>
    </row>
    <row r="416" spans="1:10" ht="15.75" customHeight="1">
      <c r="A416" s="218"/>
      <c r="B416" s="75"/>
      <c r="C416" s="75" t="s">
        <v>223</v>
      </c>
      <c r="D416" s="75" t="s">
        <v>224</v>
      </c>
      <c r="E416" s="75"/>
      <c r="F416" s="75"/>
      <c r="G416" s="92">
        <v>5700000</v>
      </c>
      <c r="H416" s="92">
        <v>5700000</v>
      </c>
      <c r="I416" s="92">
        <v>4214016</v>
      </c>
      <c r="J416" s="217">
        <f t="shared" si="11"/>
        <v>0.739301052631579</v>
      </c>
    </row>
    <row r="417" spans="1:10" ht="15.75" customHeight="1">
      <c r="A417" s="218"/>
      <c r="B417" s="75"/>
      <c r="C417" s="75" t="s">
        <v>258</v>
      </c>
      <c r="D417" s="75" t="s">
        <v>259</v>
      </c>
      <c r="E417" s="75"/>
      <c r="F417" s="75"/>
      <c r="G417" s="92">
        <v>6750000</v>
      </c>
      <c r="H417" s="92">
        <f>6750000+6548028</f>
        <v>13298028</v>
      </c>
      <c r="I417" s="92">
        <v>9553060</v>
      </c>
      <c r="J417" s="217">
        <f t="shared" si="11"/>
        <v>0.7183817029111385</v>
      </c>
    </row>
    <row r="418" spans="1:10" ht="15.75" customHeight="1">
      <c r="A418" s="221" t="s">
        <v>34</v>
      </c>
      <c r="B418" s="75"/>
      <c r="C418" s="72" t="s">
        <v>35</v>
      </c>
      <c r="D418" s="75"/>
      <c r="E418" s="75"/>
      <c r="F418" s="75"/>
      <c r="G418" s="94">
        <f>SUM(G419:G421)</f>
        <v>31000000</v>
      </c>
      <c r="H418" s="94">
        <f>SUM(H419:H421)</f>
        <v>25290172</v>
      </c>
      <c r="I418" s="94">
        <f>SUM(I419:I421)</f>
        <v>25090154</v>
      </c>
      <c r="J418" s="217">
        <f t="shared" si="11"/>
        <v>0.9920910779096322</v>
      </c>
    </row>
    <row r="419" spans="1:10" ht="15.75" customHeight="1">
      <c r="A419" s="218"/>
      <c r="B419" s="72" t="s">
        <v>260</v>
      </c>
      <c r="C419" s="75"/>
      <c r="D419" s="75" t="s">
        <v>381</v>
      </c>
      <c r="E419" s="75"/>
      <c r="F419" s="75"/>
      <c r="G419" s="92">
        <v>24409400</v>
      </c>
      <c r="H419" s="92">
        <v>24409400</v>
      </c>
      <c r="I419" s="92">
        <v>24251954</v>
      </c>
      <c r="J419" s="217">
        <f t="shared" si="11"/>
        <v>0.9935497800027858</v>
      </c>
    </row>
    <row r="420" spans="1:10" ht="15.75" customHeight="1">
      <c r="A420" s="218"/>
      <c r="B420" s="72" t="s">
        <v>386</v>
      </c>
      <c r="C420" s="75"/>
      <c r="D420" s="75" t="s">
        <v>427</v>
      </c>
      <c r="E420" s="75"/>
      <c r="F420" s="75"/>
      <c r="G420" s="92">
        <v>0</v>
      </c>
      <c r="H420" s="92">
        <v>660000</v>
      </c>
      <c r="I420" s="92">
        <v>660000</v>
      </c>
      <c r="J420" s="217">
        <f t="shared" si="11"/>
        <v>1</v>
      </c>
    </row>
    <row r="421" spans="1:10" ht="15.75" customHeight="1">
      <c r="A421" s="218"/>
      <c r="B421" s="72" t="s">
        <v>261</v>
      </c>
      <c r="C421" s="75"/>
      <c r="D421" s="75" t="s">
        <v>262</v>
      </c>
      <c r="E421" s="75"/>
      <c r="F421" s="75"/>
      <c r="G421" s="92">
        <v>6590600</v>
      </c>
      <c r="H421" s="92">
        <f>6590600+178200-6548028</f>
        <v>220772</v>
      </c>
      <c r="I421" s="92">
        <v>178200</v>
      </c>
      <c r="J421" s="217">
        <f t="shared" si="11"/>
        <v>0.8071675755983548</v>
      </c>
    </row>
    <row r="422" spans="1:10" ht="15.75" customHeight="1">
      <c r="A422" s="222" t="s">
        <v>36</v>
      </c>
      <c r="B422" s="97"/>
      <c r="C422" s="97" t="s">
        <v>37</v>
      </c>
      <c r="D422" s="65"/>
      <c r="E422" s="65"/>
      <c r="F422" s="75"/>
      <c r="G422" s="94">
        <f>SUM(G423:G424)</f>
        <v>15000000</v>
      </c>
      <c r="H422" s="94">
        <f>SUM(H423:H424)</f>
        <v>0</v>
      </c>
      <c r="I422" s="94">
        <f>SUM(I423:I424)</f>
        <v>0</v>
      </c>
      <c r="J422" s="217"/>
    </row>
    <row r="423" spans="1:10" ht="15.75" customHeight="1">
      <c r="A423" s="219"/>
      <c r="B423" s="97" t="s">
        <v>272</v>
      </c>
      <c r="C423" s="65"/>
      <c r="D423" s="65" t="s">
        <v>273</v>
      </c>
      <c r="E423" s="65"/>
      <c r="F423" s="75"/>
      <c r="G423" s="92">
        <v>11811000</v>
      </c>
      <c r="H423" s="92">
        <v>0</v>
      </c>
      <c r="I423" s="92">
        <v>0</v>
      </c>
      <c r="J423" s="217"/>
    </row>
    <row r="424" spans="1:10" ht="15.75" customHeight="1">
      <c r="A424" s="219"/>
      <c r="B424" s="97" t="s">
        <v>274</v>
      </c>
      <c r="C424" s="65"/>
      <c r="D424" s="65" t="s">
        <v>275</v>
      </c>
      <c r="E424" s="65"/>
      <c r="F424" s="75"/>
      <c r="G424" s="92">
        <v>3189000</v>
      </c>
      <c r="H424" s="92">
        <v>0</v>
      </c>
      <c r="I424" s="92">
        <v>0</v>
      </c>
      <c r="J424" s="217"/>
    </row>
    <row r="425" spans="1:10" ht="15.75" customHeight="1">
      <c r="A425" s="218"/>
      <c r="B425" s="75"/>
      <c r="C425" s="75"/>
      <c r="D425" s="75"/>
      <c r="E425" s="75"/>
      <c r="F425" s="75"/>
      <c r="G425" s="92"/>
      <c r="H425" s="65"/>
      <c r="I425" s="127"/>
      <c r="J425" s="217"/>
    </row>
    <row r="426" spans="1:10" ht="15.75" customHeight="1">
      <c r="A426" s="176" t="s">
        <v>300</v>
      </c>
      <c r="B426" s="88"/>
      <c r="C426" s="88"/>
      <c r="D426" s="88"/>
      <c r="E426" s="88"/>
      <c r="F426" s="98"/>
      <c r="G426" s="91">
        <f>SUM(G427)</f>
        <v>420000</v>
      </c>
      <c r="H426" s="91">
        <f>SUM(H427)</f>
        <v>574625</v>
      </c>
      <c r="I426" s="91">
        <f>SUM(I427)</f>
        <v>574625</v>
      </c>
      <c r="J426" s="192">
        <f t="shared" si="11"/>
        <v>1</v>
      </c>
    </row>
    <row r="427" spans="1:10" ht="15.75" customHeight="1">
      <c r="A427" s="216" t="s">
        <v>27</v>
      </c>
      <c r="B427" s="72"/>
      <c r="C427" s="72" t="s">
        <v>28</v>
      </c>
      <c r="D427" s="72"/>
      <c r="E427" s="72"/>
      <c r="F427" s="75"/>
      <c r="G427" s="94">
        <f>G428+G431</f>
        <v>420000</v>
      </c>
      <c r="H427" s="94">
        <f>H428+H431</f>
        <v>574625</v>
      </c>
      <c r="I427" s="94">
        <f>I428+I431</f>
        <v>574625</v>
      </c>
      <c r="J427" s="217">
        <f t="shared" si="11"/>
        <v>1</v>
      </c>
    </row>
    <row r="428" spans="1:10" ht="15.75" customHeight="1">
      <c r="A428" s="220"/>
      <c r="B428" s="72" t="s">
        <v>189</v>
      </c>
      <c r="C428" s="82"/>
      <c r="D428" s="72" t="s">
        <v>190</v>
      </c>
      <c r="E428" s="83"/>
      <c r="F428" s="75"/>
      <c r="G428" s="94">
        <f aca="true" t="shared" si="12" ref="G428:I429">G429</f>
        <v>400000</v>
      </c>
      <c r="H428" s="94">
        <f t="shared" si="12"/>
        <v>547267</v>
      </c>
      <c r="I428" s="94">
        <f t="shared" si="12"/>
        <v>547267</v>
      </c>
      <c r="J428" s="217">
        <f t="shared" si="11"/>
        <v>1</v>
      </c>
    </row>
    <row r="429" spans="1:10" ht="15.75" customHeight="1">
      <c r="A429" s="218"/>
      <c r="B429" s="75"/>
      <c r="C429" s="75" t="s">
        <v>191</v>
      </c>
      <c r="D429" s="75" t="s">
        <v>192</v>
      </c>
      <c r="E429" s="81"/>
      <c r="F429" s="75"/>
      <c r="G429" s="92">
        <f t="shared" si="12"/>
        <v>400000</v>
      </c>
      <c r="H429" s="92">
        <f t="shared" si="12"/>
        <v>547267</v>
      </c>
      <c r="I429" s="92">
        <f t="shared" si="12"/>
        <v>547267</v>
      </c>
      <c r="J429" s="217">
        <f t="shared" si="11"/>
        <v>1</v>
      </c>
    </row>
    <row r="430" spans="1:10" ht="15.75" customHeight="1">
      <c r="A430" s="218"/>
      <c r="B430" s="75"/>
      <c r="C430" s="75"/>
      <c r="D430" s="75"/>
      <c r="E430" s="81" t="s">
        <v>193</v>
      </c>
      <c r="F430" s="75"/>
      <c r="G430" s="92">
        <v>400000</v>
      </c>
      <c r="H430" s="92">
        <v>547267</v>
      </c>
      <c r="I430" s="92">
        <v>547267</v>
      </c>
      <c r="J430" s="217">
        <f t="shared" si="11"/>
        <v>1</v>
      </c>
    </row>
    <row r="431" spans="1:10" ht="15.75" customHeight="1">
      <c r="A431" s="220"/>
      <c r="B431" s="72" t="s">
        <v>221</v>
      </c>
      <c r="C431" s="82"/>
      <c r="D431" s="72" t="s">
        <v>222</v>
      </c>
      <c r="E431" s="82"/>
      <c r="F431" s="75"/>
      <c r="G431" s="94">
        <f>G432</f>
        <v>20000</v>
      </c>
      <c r="H431" s="94">
        <f>H432</f>
        <v>27358</v>
      </c>
      <c r="I431" s="94">
        <f>I432</f>
        <v>27358</v>
      </c>
      <c r="J431" s="217">
        <f t="shared" si="11"/>
        <v>1</v>
      </c>
    </row>
    <row r="432" spans="1:10" ht="15.75" customHeight="1">
      <c r="A432" s="218"/>
      <c r="B432" s="75"/>
      <c r="C432" s="75" t="s">
        <v>223</v>
      </c>
      <c r="D432" s="75" t="s">
        <v>224</v>
      </c>
      <c r="E432" s="75"/>
      <c r="F432" s="75"/>
      <c r="G432" s="92">
        <v>20000</v>
      </c>
      <c r="H432" s="92">
        <v>27358</v>
      </c>
      <c r="I432" s="92">
        <v>27358</v>
      </c>
      <c r="J432" s="217">
        <f t="shared" si="11"/>
        <v>1</v>
      </c>
    </row>
    <row r="433" spans="1:10" ht="15.75" customHeight="1">
      <c r="A433" s="218"/>
      <c r="B433" s="75"/>
      <c r="C433" s="75"/>
      <c r="D433" s="75"/>
      <c r="E433" s="75"/>
      <c r="F433" s="75"/>
      <c r="G433" s="92"/>
      <c r="H433" s="65"/>
      <c r="I433" s="127"/>
      <c r="J433" s="217"/>
    </row>
    <row r="434" spans="1:10" ht="15.75" customHeight="1">
      <c r="A434" s="176" t="s">
        <v>126</v>
      </c>
      <c r="B434" s="88"/>
      <c r="C434" s="88"/>
      <c r="D434" s="88"/>
      <c r="E434" s="88"/>
      <c r="F434" s="98">
        <v>1</v>
      </c>
      <c r="G434" s="91">
        <f>G435+G442+G445</f>
        <v>5908850</v>
      </c>
      <c r="H434" s="91">
        <f>H435+H442+H445+H463</f>
        <v>5908850</v>
      </c>
      <c r="I434" s="91">
        <f>I435+I442+I445+I463</f>
        <v>5345897</v>
      </c>
      <c r="J434" s="192">
        <f t="shared" si="11"/>
        <v>0.9047271465682831</v>
      </c>
    </row>
    <row r="435" spans="1:10" ht="15.75" customHeight="1">
      <c r="A435" s="216" t="s">
        <v>23</v>
      </c>
      <c r="B435" s="72"/>
      <c r="C435" s="72" t="s">
        <v>169</v>
      </c>
      <c r="D435" s="72"/>
      <c r="E435" s="72"/>
      <c r="F435" s="75"/>
      <c r="G435" s="94">
        <f>SUM(G436)</f>
        <v>2956440</v>
      </c>
      <c r="H435" s="94">
        <f>SUM(H436)</f>
        <v>2956440</v>
      </c>
      <c r="I435" s="94">
        <f>SUM(I436)</f>
        <v>2913700</v>
      </c>
      <c r="J435" s="217">
        <f t="shared" si="11"/>
        <v>0.9855434238476005</v>
      </c>
    </row>
    <row r="436" spans="1:10" ht="15.75" customHeight="1">
      <c r="A436" s="218"/>
      <c r="B436" s="72" t="s">
        <v>170</v>
      </c>
      <c r="C436" s="72"/>
      <c r="D436" s="72" t="s">
        <v>171</v>
      </c>
      <c r="E436" s="72"/>
      <c r="F436" s="75"/>
      <c r="G436" s="94">
        <f>SUM(G437:G441)</f>
        <v>2956440</v>
      </c>
      <c r="H436" s="94">
        <f>SUM(H437:H441)</f>
        <v>2956440</v>
      </c>
      <c r="I436" s="94">
        <f>SUM(I437:I441)</f>
        <v>2913700</v>
      </c>
      <c r="J436" s="217">
        <f t="shared" si="11"/>
        <v>0.9855434238476005</v>
      </c>
    </row>
    <row r="437" spans="1:10" ht="15.75" customHeight="1">
      <c r="A437" s="219"/>
      <c r="B437" s="75"/>
      <c r="C437" s="75" t="s">
        <v>172</v>
      </c>
      <c r="D437" s="75" t="s">
        <v>173</v>
      </c>
      <c r="E437" s="75"/>
      <c r="F437" s="75"/>
      <c r="G437" s="92">
        <v>2340000</v>
      </c>
      <c r="H437" s="92">
        <v>2340000</v>
      </c>
      <c r="I437" s="92">
        <v>2325501</v>
      </c>
      <c r="J437" s="217">
        <f t="shared" si="11"/>
        <v>0.9938038461538462</v>
      </c>
    </row>
    <row r="438" spans="1:10" ht="15.75" customHeight="1">
      <c r="A438" s="219"/>
      <c r="B438" s="75"/>
      <c r="C438" s="75" t="s">
        <v>359</v>
      </c>
      <c r="D438" s="75" t="s">
        <v>391</v>
      </c>
      <c r="E438" s="75"/>
      <c r="F438" s="75"/>
      <c r="G438" s="92">
        <v>91000</v>
      </c>
      <c r="H438" s="92">
        <v>91000</v>
      </c>
      <c r="I438" s="92">
        <v>97500</v>
      </c>
      <c r="J438" s="217">
        <f t="shared" si="11"/>
        <v>1.0714285714285714</v>
      </c>
    </row>
    <row r="439" spans="1:10" ht="15.75" customHeight="1">
      <c r="A439" s="218"/>
      <c r="B439" s="75"/>
      <c r="C439" s="75" t="s">
        <v>174</v>
      </c>
      <c r="D439" s="75" t="s">
        <v>175</v>
      </c>
      <c r="E439" s="75"/>
      <c r="F439" s="75"/>
      <c r="G439" s="92">
        <v>149000</v>
      </c>
      <c r="H439" s="92">
        <v>149000</v>
      </c>
      <c r="I439" s="92">
        <v>148699</v>
      </c>
      <c r="J439" s="217">
        <f t="shared" si="11"/>
        <v>0.9979798657718121</v>
      </c>
    </row>
    <row r="440" spans="1:10" ht="15.75" customHeight="1">
      <c r="A440" s="218"/>
      <c r="B440" s="75"/>
      <c r="C440" s="75" t="s">
        <v>286</v>
      </c>
      <c r="D440" s="75" t="s">
        <v>287</v>
      </c>
      <c r="E440" s="75"/>
      <c r="F440" s="75"/>
      <c r="G440" s="92">
        <v>376440</v>
      </c>
      <c r="H440" s="92">
        <v>376440</v>
      </c>
      <c r="I440" s="92">
        <v>342000</v>
      </c>
      <c r="J440" s="217">
        <f t="shared" si="11"/>
        <v>0.9085113165444693</v>
      </c>
    </row>
    <row r="441" spans="1:10" ht="15.75" customHeight="1">
      <c r="A441" s="218"/>
      <c r="B441" s="75"/>
      <c r="C441" s="74" t="s">
        <v>254</v>
      </c>
      <c r="D441" s="75" t="s">
        <v>171</v>
      </c>
      <c r="E441" s="75"/>
      <c r="F441" s="75"/>
      <c r="G441" s="92">
        <v>0</v>
      </c>
      <c r="H441" s="92">
        <v>0</v>
      </c>
      <c r="I441" s="92">
        <v>0</v>
      </c>
      <c r="J441" s="217"/>
    </row>
    <row r="442" spans="1:10" ht="15.75" customHeight="1">
      <c r="A442" s="216" t="s">
        <v>25</v>
      </c>
      <c r="B442" s="72"/>
      <c r="C442" s="72" t="s">
        <v>186</v>
      </c>
      <c r="D442" s="79"/>
      <c r="E442" s="79"/>
      <c r="F442" s="75"/>
      <c r="G442" s="94">
        <f>SUM(G443:G444)</f>
        <v>532410</v>
      </c>
      <c r="H442" s="94">
        <f>SUM(H443:H444)</f>
        <v>532410</v>
      </c>
      <c r="I442" s="94">
        <f>SUM(I443:I444)</f>
        <v>504638</v>
      </c>
      <c r="J442" s="217">
        <f t="shared" si="11"/>
        <v>0.9478371931406248</v>
      </c>
    </row>
    <row r="443" spans="1:10" ht="15.75" customHeight="1">
      <c r="A443" s="218"/>
      <c r="B443" s="75"/>
      <c r="C443" s="75"/>
      <c r="D443" s="77" t="s">
        <v>187</v>
      </c>
      <c r="E443" s="75"/>
      <c r="F443" s="75"/>
      <c r="G443" s="92">
        <f>485355+18000</f>
        <v>503355</v>
      </c>
      <c r="H443" s="92">
        <f>485355+18000</f>
        <v>503355</v>
      </c>
      <c r="I443" s="92">
        <v>482333</v>
      </c>
      <c r="J443" s="217">
        <f t="shared" si="11"/>
        <v>0.9582362348640622</v>
      </c>
    </row>
    <row r="444" spans="1:10" ht="15.75" customHeight="1">
      <c r="A444" s="218"/>
      <c r="B444" s="75"/>
      <c r="C444" s="75"/>
      <c r="D444" s="77" t="s">
        <v>188</v>
      </c>
      <c r="E444" s="75"/>
      <c r="F444" s="75"/>
      <c r="G444" s="92">
        <v>29055</v>
      </c>
      <c r="H444" s="92">
        <v>29055</v>
      </c>
      <c r="I444" s="92">
        <v>22305</v>
      </c>
      <c r="J444" s="217">
        <f t="shared" si="11"/>
        <v>0.7676819824470831</v>
      </c>
    </row>
    <row r="445" spans="1:10" ht="15.75" customHeight="1">
      <c r="A445" s="216" t="s">
        <v>27</v>
      </c>
      <c r="B445" s="72"/>
      <c r="C445" s="72" t="s">
        <v>28</v>
      </c>
      <c r="D445" s="72"/>
      <c r="E445" s="72"/>
      <c r="F445" s="75"/>
      <c r="G445" s="94">
        <f>G446+G449+G452+G461+G459</f>
        <v>2420000</v>
      </c>
      <c r="H445" s="94">
        <f>H446+H449+H452+H461+H459</f>
        <v>2307666</v>
      </c>
      <c r="I445" s="94">
        <f>I446+I449+I452+I461+I459</f>
        <v>1815225</v>
      </c>
      <c r="J445" s="217">
        <f t="shared" si="11"/>
        <v>0.7866064673137274</v>
      </c>
    </row>
    <row r="446" spans="1:10" ht="15.75" customHeight="1">
      <c r="A446" s="220"/>
      <c r="B446" s="72" t="s">
        <v>189</v>
      </c>
      <c r="C446" s="82"/>
      <c r="D446" s="72" t="s">
        <v>190</v>
      </c>
      <c r="E446" s="83"/>
      <c r="F446" s="75"/>
      <c r="G446" s="94">
        <f>G447+G448</f>
        <v>350000</v>
      </c>
      <c r="H446" s="94">
        <f>H447+H448</f>
        <v>350000</v>
      </c>
      <c r="I446" s="94">
        <f>I447+I448</f>
        <v>209571</v>
      </c>
      <c r="J446" s="217">
        <f t="shared" si="11"/>
        <v>0.5987742857142857</v>
      </c>
    </row>
    <row r="447" spans="1:10" ht="15.75" customHeight="1">
      <c r="A447" s="218"/>
      <c r="B447" s="75"/>
      <c r="C447" s="75" t="s">
        <v>191</v>
      </c>
      <c r="D447" s="75" t="s">
        <v>192</v>
      </c>
      <c r="E447" s="81"/>
      <c r="F447" s="75"/>
      <c r="G447" s="92">
        <v>150000</v>
      </c>
      <c r="H447" s="92">
        <v>150000</v>
      </c>
      <c r="I447" s="92">
        <v>77400</v>
      </c>
      <c r="J447" s="217">
        <f t="shared" si="11"/>
        <v>0.516</v>
      </c>
    </row>
    <row r="448" spans="1:10" ht="15.75" customHeight="1">
      <c r="A448" s="218"/>
      <c r="B448" s="75"/>
      <c r="C448" s="75" t="s">
        <v>194</v>
      </c>
      <c r="D448" s="75" t="s">
        <v>195</v>
      </c>
      <c r="E448" s="75"/>
      <c r="F448" s="75"/>
      <c r="G448" s="92">
        <v>200000</v>
      </c>
      <c r="H448" s="92">
        <v>200000</v>
      </c>
      <c r="I448" s="92">
        <v>132171</v>
      </c>
      <c r="J448" s="217">
        <f t="shared" si="11"/>
        <v>0.660855</v>
      </c>
    </row>
    <row r="449" spans="1:10" ht="15.75" customHeight="1">
      <c r="A449" s="220"/>
      <c r="B449" s="72" t="s">
        <v>197</v>
      </c>
      <c r="C449" s="82"/>
      <c r="D449" s="72" t="s">
        <v>198</v>
      </c>
      <c r="E449" s="82"/>
      <c r="F449" s="75"/>
      <c r="G449" s="94">
        <f>G450+G451</f>
        <v>210000</v>
      </c>
      <c r="H449" s="94">
        <f>H450+H451</f>
        <v>210000</v>
      </c>
      <c r="I449" s="94">
        <f>I450+I451</f>
        <v>103786</v>
      </c>
      <c r="J449" s="217">
        <f t="shared" si="11"/>
        <v>0.4942190476190476</v>
      </c>
    </row>
    <row r="450" spans="1:10" ht="15.75" customHeight="1">
      <c r="A450" s="218"/>
      <c r="B450" s="75"/>
      <c r="C450" s="75" t="s">
        <v>199</v>
      </c>
      <c r="D450" s="75" t="s">
        <v>200</v>
      </c>
      <c r="E450" s="75"/>
      <c r="F450" s="75"/>
      <c r="G450" s="92">
        <v>110000</v>
      </c>
      <c r="H450" s="92">
        <v>110000</v>
      </c>
      <c r="I450" s="92">
        <v>61732</v>
      </c>
      <c r="J450" s="217">
        <f t="shared" si="11"/>
        <v>0.5612</v>
      </c>
    </row>
    <row r="451" spans="1:10" ht="15.75" customHeight="1">
      <c r="A451" s="218"/>
      <c r="B451" s="75"/>
      <c r="C451" s="75" t="s">
        <v>201</v>
      </c>
      <c r="D451" s="75" t="s">
        <v>202</v>
      </c>
      <c r="E451" s="75"/>
      <c r="F451" s="75"/>
      <c r="G451" s="92">
        <v>100000</v>
      </c>
      <c r="H451" s="92">
        <v>100000</v>
      </c>
      <c r="I451" s="92">
        <v>42054</v>
      </c>
      <c r="J451" s="217">
        <f t="shared" si="11"/>
        <v>0.42054</v>
      </c>
    </row>
    <row r="452" spans="1:10" ht="15.75" customHeight="1">
      <c r="A452" s="220"/>
      <c r="B452" s="72" t="s">
        <v>203</v>
      </c>
      <c r="C452" s="82"/>
      <c r="D452" s="72" t="s">
        <v>204</v>
      </c>
      <c r="E452" s="82"/>
      <c r="F452" s="75"/>
      <c r="G452" s="94">
        <f>G453+G457+G458</f>
        <v>1310000</v>
      </c>
      <c r="H452" s="94">
        <f>H453+H457+H458</f>
        <v>1197666</v>
      </c>
      <c r="I452" s="94">
        <f>I453+I457+I458</f>
        <v>1132108</v>
      </c>
      <c r="J452" s="217">
        <f t="shared" si="11"/>
        <v>0.9452618676659436</v>
      </c>
    </row>
    <row r="453" spans="1:10" ht="15.75" customHeight="1">
      <c r="A453" s="218"/>
      <c r="B453" s="75"/>
      <c r="C453" s="75" t="s">
        <v>205</v>
      </c>
      <c r="D453" s="75" t="s">
        <v>206</v>
      </c>
      <c r="E453" s="75"/>
      <c r="F453" s="75"/>
      <c r="G453" s="92">
        <f>SUM(G454:G456)</f>
        <v>910000</v>
      </c>
      <c r="H453" s="92">
        <f>SUM(H454:H456)</f>
        <v>732109</v>
      </c>
      <c r="I453" s="92">
        <f>SUM(I454:I456)</f>
        <v>705145</v>
      </c>
      <c r="J453" s="217">
        <f t="shared" si="11"/>
        <v>0.9631694187614139</v>
      </c>
    </row>
    <row r="454" spans="1:10" ht="15.75" customHeight="1">
      <c r="A454" s="218"/>
      <c r="B454" s="75"/>
      <c r="C454" s="75"/>
      <c r="D454" s="75"/>
      <c r="E454" s="77" t="s">
        <v>207</v>
      </c>
      <c r="F454" s="75"/>
      <c r="G454" s="92">
        <v>400000</v>
      </c>
      <c r="H454" s="92">
        <v>300000</v>
      </c>
      <c r="I454" s="92">
        <v>273036</v>
      </c>
      <c r="J454" s="217">
        <f t="shared" si="11"/>
        <v>0.91012</v>
      </c>
    </row>
    <row r="455" spans="1:10" ht="15.75" customHeight="1">
      <c r="A455" s="218"/>
      <c r="B455" s="75"/>
      <c r="C455" s="75"/>
      <c r="D455" s="75"/>
      <c r="E455" s="77" t="s">
        <v>208</v>
      </c>
      <c r="F455" s="75"/>
      <c r="G455" s="92">
        <v>350000</v>
      </c>
      <c r="H455" s="92">
        <v>272109</v>
      </c>
      <c r="I455" s="92">
        <v>272109</v>
      </c>
      <c r="J455" s="217">
        <f t="shared" si="11"/>
        <v>1</v>
      </c>
    </row>
    <row r="456" spans="1:10" ht="15.75" customHeight="1">
      <c r="A456" s="218"/>
      <c r="B456" s="75"/>
      <c r="C456" s="75"/>
      <c r="D456" s="75"/>
      <c r="E456" s="77" t="s">
        <v>209</v>
      </c>
      <c r="F456" s="75"/>
      <c r="G456" s="92">
        <v>160000</v>
      </c>
      <c r="H456" s="92">
        <v>160000</v>
      </c>
      <c r="I456" s="92">
        <v>160000</v>
      </c>
      <c r="J456" s="217">
        <f t="shared" si="11"/>
        <v>1</v>
      </c>
    </row>
    <row r="457" spans="1:10" ht="15.75" customHeight="1">
      <c r="A457" s="218"/>
      <c r="B457" s="75"/>
      <c r="C457" s="75" t="s">
        <v>212</v>
      </c>
      <c r="D457" s="75" t="s">
        <v>213</v>
      </c>
      <c r="E457" s="75"/>
      <c r="F457" s="75"/>
      <c r="G457" s="92">
        <v>100000</v>
      </c>
      <c r="H457" s="92">
        <v>100000</v>
      </c>
      <c r="I457" s="92">
        <v>63506</v>
      </c>
      <c r="J457" s="217">
        <f t="shared" si="11"/>
        <v>0.63506</v>
      </c>
    </row>
    <row r="458" spans="1:10" ht="15.75" customHeight="1">
      <c r="A458" s="218"/>
      <c r="B458" s="75"/>
      <c r="C458" s="75" t="s">
        <v>214</v>
      </c>
      <c r="D458" s="75" t="s">
        <v>215</v>
      </c>
      <c r="E458" s="75"/>
      <c r="F458" s="75"/>
      <c r="G458" s="92">
        <v>300000</v>
      </c>
      <c r="H458" s="92">
        <v>365557</v>
      </c>
      <c r="I458" s="92">
        <v>363457</v>
      </c>
      <c r="J458" s="217">
        <f t="shared" si="11"/>
        <v>0.9942553418481933</v>
      </c>
    </row>
    <row r="459" spans="1:10" ht="15.75" customHeight="1">
      <c r="A459" s="218"/>
      <c r="B459" s="72" t="s">
        <v>216</v>
      </c>
      <c r="C459" s="75"/>
      <c r="D459" s="72" t="s">
        <v>301</v>
      </c>
      <c r="E459" s="77"/>
      <c r="F459" s="75"/>
      <c r="G459" s="93">
        <f>G460</f>
        <v>50000</v>
      </c>
      <c r="H459" s="93">
        <f>H460</f>
        <v>50000</v>
      </c>
      <c r="I459" s="93">
        <f>I460</f>
        <v>0</v>
      </c>
      <c r="J459" s="217">
        <f t="shared" si="11"/>
        <v>0</v>
      </c>
    </row>
    <row r="460" spans="1:10" ht="15.75" customHeight="1">
      <c r="A460" s="218"/>
      <c r="B460" s="75"/>
      <c r="C460" s="75" t="s">
        <v>218</v>
      </c>
      <c r="D460" s="75" t="s">
        <v>301</v>
      </c>
      <c r="E460" s="77"/>
      <c r="F460" s="75"/>
      <c r="G460" s="93">
        <v>50000</v>
      </c>
      <c r="H460" s="93">
        <v>50000</v>
      </c>
      <c r="I460" s="93">
        <v>0</v>
      </c>
      <c r="J460" s="217">
        <f t="shared" si="11"/>
        <v>0</v>
      </c>
    </row>
    <row r="461" spans="1:10" ht="15.75" customHeight="1">
      <c r="A461" s="220"/>
      <c r="B461" s="72" t="s">
        <v>221</v>
      </c>
      <c r="C461" s="82"/>
      <c r="D461" s="72" t="s">
        <v>222</v>
      </c>
      <c r="E461" s="82"/>
      <c r="F461" s="75"/>
      <c r="G461" s="94">
        <f>SUM(G462)</f>
        <v>500000</v>
      </c>
      <c r="H461" s="94">
        <f>SUM(H462)</f>
        <v>500000</v>
      </c>
      <c r="I461" s="94">
        <f>SUM(I462)</f>
        <v>369760</v>
      </c>
      <c r="J461" s="217">
        <f aca="true" t="shared" si="13" ref="J461:J524">I461/H461</f>
        <v>0.73952</v>
      </c>
    </row>
    <row r="462" spans="1:10" ht="15.75" customHeight="1">
      <c r="A462" s="218"/>
      <c r="B462" s="75"/>
      <c r="C462" s="75" t="s">
        <v>223</v>
      </c>
      <c r="D462" s="75" t="s">
        <v>224</v>
      </c>
      <c r="E462" s="75"/>
      <c r="F462" s="75"/>
      <c r="G462" s="93">
        <v>500000</v>
      </c>
      <c r="H462" s="93">
        <v>500000</v>
      </c>
      <c r="I462" s="93">
        <v>369760</v>
      </c>
      <c r="J462" s="217">
        <f t="shared" si="13"/>
        <v>0.73952</v>
      </c>
    </row>
    <row r="463" spans="1:10" ht="15.75" customHeight="1">
      <c r="A463" s="216" t="s">
        <v>34</v>
      </c>
      <c r="B463" s="75"/>
      <c r="C463" s="72" t="s">
        <v>35</v>
      </c>
      <c r="D463" s="75"/>
      <c r="E463" s="75"/>
      <c r="F463" s="75"/>
      <c r="G463" s="93"/>
      <c r="H463" s="112">
        <f>SUM(H464:H465)</f>
        <v>112334</v>
      </c>
      <c r="I463" s="112">
        <f>SUM(I464:I465)</f>
        <v>112334</v>
      </c>
      <c r="J463" s="217">
        <f t="shared" si="13"/>
        <v>1</v>
      </c>
    </row>
    <row r="464" spans="1:10" ht="15.75" customHeight="1">
      <c r="A464" s="218"/>
      <c r="B464" s="72" t="s">
        <v>386</v>
      </c>
      <c r="C464" s="75"/>
      <c r="D464" s="75" t="s">
        <v>454</v>
      </c>
      <c r="E464" s="75"/>
      <c r="F464" s="75"/>
      <c r="G464" s="93"/>
      <c r="H464" s="93">
        <v>88452</v>
      </c>
      <c r="I464" s="93">
        <v>88452</v>
      </c>
      <c r="J464" s="217">
        <f t="shared" si="13"/>
        <v>1</v>
      </c>
    </row>
    <row r="465" spans="1:10" ht="15.75" customHeight="1">
      <c r="A465" s="218"/>
      <c r="B465" s="72" t="s">
        <v>261</v>
      </c>
      <c r="C465" s="75" t="s">
        <v>453</v>
      </c>
      <c r="D465" s="75"/>
      <c r="E465" s="75"/>
      <c r="F465" s="75"/>
      <c r="G465" s="93"/>
      <c r="H465" s="93">
        <v>23882</v>
      </c>
      <c r="I465" s="93">
        <v>23882</v>
      </c>
      <c r="J465" s="217">
        <f t="shared" si="13"/>
        <v>1</v>
      </c>
    </row>
    <row r="466" spans="1:10" ht="15.75" customHeight="1">
      <c r="A466" s="218"/>
      <c r="B466" s="75"/>
      <c r="C466" s="75"/>
      <c r="D466" s="75"/>
      <c r="E466" s="75"/>
      <c r="F466" s="75"/>
      <c r="G466" s="93"/>
      <c r="H466" s="65"/>
      <c r="I466" s="127"/>
      <c r="J466" s="217"/>
    </row>
    <row r="467" spans="1:10" ht="15.75" customHeight="1">
      <c r="A467" s="176" t="s">
        <v>360</v>
      </c>
      <c r="B467" s="88"/>
      <c r="C467" s="88"/>
      <c r="D467" s="88"/>
      <c r="E467" s="88"/>
      <c r="F467" s="98">
        <v>1</v>
      </c>
      <c r="G467" s="91">
        <f>G468+G474</f>
        <v>2398125</v>
      </c>
      <c r="H467" s="91">
        <f>H468+H474+H477+H483</f>
        <v>2665727</v>
      </c>
      <c r="I467" s="91">
        <f>I468+I474+I477+I483</f>
        <v>2517003</v>
      </c>
      <c r="J467" s="192">
        <f t="shared" si="13"/>
        <v>0.9442088405902029</v>
      </c>
    </row>
    <row r="468" spans="1:10" ht="15.75" customHeight="1">
      <c r="A468" s="216" t="s">
        <v>23</v>
      </c>
      <c r="B468" s="72"/>
      <c r="C468" s="72" t="s">
        <v>169</v>
      </c>
      <c r="D468" s="72"/>
      <c r="E468" s="72"/>
      <c r="F468" s="75"/>
      <c r="G468" s="94">
        <f>SUM(G469)</f>
        <v>2007000</v>
      </c>
      <c r="H468" s="94">
        <f>SUM(H469)</f>
        <v>2007000</v>
      </c>
      <c r="I468" s="94">
        <f>SUM(I469)</f>
        <v>1954402</v>
      </c>
      <c r="J468" s="217">
        <f t="shared" si="13"/>
        <v>0.9737927254608869</v>
      </c>
    </row>
    <row r="469" spans="1:10" ht="15.75" customHeight="1">
      <c r="A469" s="218"/>
      <c r="B469" s="72" t="s">
        <v>170</v>
      </c>
      <c r="C469" s="72"/>
      <c r="D469" s="72" t="s">
        <v>171</v>
      </c>
      <c r="E469" s="72"/>
      <c r="F469" s="75"/>
      <c r="G469" s="94">
        <f>SUM(G470:G473)</f>
        <v>2007000</v>
      </c>
      <c r="H469" s="94">
        <f>SUM(H470:H473)</f>
        <v>2007000</v>
      </c>
      <c r="I469" s="94">
        <f>SUM(I470:I473)</f>
        <v>1954402</v>
      </c>
      <c r="J469" s="217">
        <f t="shared" si="13"/>
        <v>0.9737927254608869</v>
      </c>
    </row>
    <row r="470" spans="1:10" ht="15.75" customHeight="1">
      <c r="A470" s="219"/>
      <c r="B470" s="75"/>
      <c r="C470" s="75" t="s">
        <v>172</v>
      </c>
      <c r="D470" s="75" t="s">
        <v>173</v>
      </c>
      <c r="E470" s="75"/>
      <c r="F470" s="75"/>
      <c r="G470" s="92">
        <v>1788000</v>
      </c>
      <c r="H470" s="92">
        <v>1788000</v>
      </c>
      <c r="I470" s="92">
        <v>1735402</v>
      </c>
      <c r="J470" s="217">
        <f t="shared" si="13"/>
        <v>0.970582774049217</v>
      </c>
    </row>
    <row r="471" spans="1:10" ht="15.75" customHeight="1">
      <c r="A471" s="219"/>
      <c r="B471" s="75"/>
      <c r="C471" s="75" t="s">
        <v>359</v>
      </c>
      <c r="D471" s="75" t="s">
        <v>391</v>
      </c>
      <c r="E471" s="75"/>
      <c r="F471" s="75"/>
      <c r="G471" s="92">
        <v>70000</v>
      </c>
      <c r="H471" s="92">
        <v>70000</v>
      </c>
      <c r="I471" s="92">
        <v>70000</v>
      </c>
      <c r="J471" s="217">
        <f t="shared" si="13"/>
        <v>1</v>
      </c>
    </row>
    <row r="472" spans="1:10" ht="15.75" customHeight="1">
      <c r="A472" s="218"/>
      <c r="B472" s="75"/>
      <c r="C472" s="75" t="s">
        <v>174</v>
      </c>
      <c r="D472" s="75" t="s">
        <v>175</v>
      </c>
      <c r="E472" s="75"/>
      <c r="F472" s="75"/>
      <c r="G472" s="92">
        <v>149000</v>
      </c>
      <c r="H472" s="92">
        <v>149000</v>
      </c>
      <c r="I472" s="92">
        <v>149000</v>
      </c>
      <c r="J472" s="217">
        <f t="shared" si="13"/>
        <v>1</v>
      </c>
    </row>
    <row r="473" spans="1:10" ht="15.75" customHeight="1">
      <c r="A473" s="218"/>
      <c r="B473" s="75"/>
      <c r="C473" s="74" t="s">
        <v>254</v>
      </c>
      <c r="D473" s="75" t="s">
        <v>171</v>
      </c>
      <c r="E473" s="75"/>
      <c r="F473" s="75"/>
      <c r="G473" s="92">
        <v>0</v>
      </c>
      <c r="H473" s="92">
        <v>0</v>
      </c>
      <c r="I473" s="92">
        <v>0</v>
      </c>
      <c r="J473" s="217"/>
    </row>
    <row r="474" spans="1:10" ht="15.75" customHeight="1">
      <c r="A474" s="216" t="s">
        <v>25</v>
      </c>
      <c r="B474" s="72"/>
      <c r="C474" s="72" t="s">
        <v>186</v>
      </c>
      <c r="D474" s="79"/>
      <c r="E474" s="79"/>
      <c r="F474" s="75"/>
      <c r="G474" s="94">
        <f>SUM(G475:G476)</f>
        <v>391125</v>
      </c>
      <c r="H474" s="94">
        <f>SUM(H475:H476)</f>
        <v>391125</v>
      </c>
      <c r="I474" s="94">
        <f>SUM(I475:I476)</f>
        <v>315000</v>
      </c>
      <c r="J474" s="217">
        <f t="shared" si="13"/>
        <v>0.8053691275167785</v>
      </c>
    </row>
    <row r="475" spans="1:10" ht="15.75" customHeight="1">
      <c r="A475" s="218"/>
      <c r="B475" s="75"/>
      <c r="C475" s="75"/>
      <c r="D475" s="77" t="s">
        <v>187</v>
      </c>
      <c r="E475" s="75"/>
      <c r="F475" s="75"/>
      <c r="G475" s="92">
        <v>362070</v>
      </c>
      <c r="H475" s="92">
        <v>362070</v>
      </c>
      <c r="I475" s="92">
        <v>315000</v>
      </c>
      <c r="J475" s="217">
        <f t="shared" si="13"/>
        <v>0.8699975142928164</v>
      </c>
    </row>
    <row r="476" spans="1:10" ht="15.75" customHeight="1">
      <c r="A476" s="218"/>
      <c r="B476" s="75"/>
      <c r="C476" s="75"/>
      <c r="D476" s="77" t="s">
        <v>188</v>
      </c>
      <c r="E476" s="75"/>
      <c r="F476" s="75"/>
      <c r="G476" s="92">
        <v>29055</v>
      </c>
      <c r="H476" s="92">
        <v>29055</v>
      </c>
      <c r="I476" s="92">
        <v>0</v>
      </c>
      <c r="J476" s="217">
        <f t="shared" si="13"/>
        <v>0</v>
      </c>
    </row>
    <row r="477" spans="1:10" ht="15.75" customHeight="1">
      <c r="A477" s="216" t="s">
        <v>27</v>
      </c>
      <c r="B477" s="72"/>
      <c r="C477" s="72" t="s">
        <v>28</v>
      </c>
      <c r="D477" s="77"/>
      <c r="E477" s="75"/>
      <c r="F477" s="75"/>
      <c r="G477" s="94">
        <f>G478+G481</f>
        <v>0</v>
      </c>
      <c r="H477" s="94">
        <f>H478+H481</f>
        <v>170001</v>
      </c>
      <c r="I477" s="94">
        <f>I478+I481</f>
        <v>150000</v>
      </c>
      <c r="J477" s="217">
        <f t="shared" si="13"/>
        <v>0.8823477508955829</v>
      </c>
    </row>
    <row r="478" spans="1:10" ht="15.75" customHeight="1">
      <c r="A478" s="218"/>
      <c r="B478" s="72" t="s">
        <v>189</v>
      </c>
      <c r="C478" s="82"/>
      <c r="D478" s="72" t="s">
        <v>190</v>
      </c>
      <c r="E478" s="75"/>
      <c r="F478" s="75"/>
      <c r="G478" s="92">
        <f>SUM(G479)</f>
        <v>0</v>
      </c>
      <c r="H478" s="92">
        <f>SUM(H479:H480)</f>
        <v>150000</v>
      </c>
      <c r="I478" s="92">
        <f>SUM(I479:I480)</f>
        <v>145238</v>
      </c>
      <c r="J478" s="217">
        <f t="shared" si="13"/>
        <v>0.9682533333333333</v>
      </c>
    </row>
    <row r="479" spans="1:10" ht="15.75" customHeight="1">
      <c r="A479" s="218"/>
      <c r="B479" s="75"/>
      <c r="C479" s="75" t="s">
        <v>191</v>
      </c>
      <c r="D479" s="75" t="s">
        <v>192</v>
      </c>
      <c r="E479" s="75"/>
      <c r="F479" s="75"/>
      <c r="G479" s="92">
        <v>0</v>
      </c>
      <c r="H479" s="92">
        <v>100000</v>
      </c>
      <c r="I479" s="92">
        <v>95238</v>
      </c>
      <c r="J479" s="217">
        <f t="shared" si="13"/>
        <v>0.95238</v>
      </c>
    </row>
    <row r="480" spans="1:10" ht="15.75" customHeight="1">
      <c r="A480" s="218"/>
      <c r="B480" s="75"/>
      <c r="C480" s="75" t="s">
        <v>194</v>
      </c>
      <c r="D480" s="75" t="s">
        <v>451</v>
      </c>
      <c r="E480" s="75"/>
      <c r="F480" s="75"/>
      <c r="G480" s="92"/>
      <c r="H480" s="92">
        <v>50000</v>
      </c>
      <c r="I480" s="92">
        <v>50000</v>
      </c>
      <c r="J480" s="217">
        <f t="shared" si="13"/>
        <v>1</v>
      </c>
    </row>
    <row r="481" spans="1:10" ht="15.75" customHeight="1">
      <c r="A481" s="218"/>
      <c r="B481" s="72" t="s">
        <v>221</v>
      </c>
      <c r="C481" s="82"/>
      <c r="D481" s="72" t="s">
        <v>222</v>
      </c>
      <c r="E481" s="75"/>
      <c r="F481" s="75"/>
      <c r="G481" s="92">
        <f>SUM(G482)</f>
        <v>0</v>
      </c>
      <c r="H481" s="92">
        <f>SUM(H482)</f>
        <v>20001</v>
      </c>
      <c r="I481" s="92">
        <f>SUM(I482)</f>
        <v>4762</v>
      </c>
      <c r="J481" s="217">
        <f t="shared" si="13"/>
        <v>0.23808809559522023</v>
      </c>
    </row>
    <row r="482" spans="1:10" ht="15.75" customHeight="1">
      <c r="A482" s="218"/>
      <c r="B482" s="75"/>
      <c r="C482" s="75" t="s">
        <v>223</v>
      </c>
      <c r="D482" s="75" t="s">
        <v>224</v>
      </c>
      <c r="E482" s="75"/>
      <c r="F482" s="75"/>
      <c r="G482" s="92">
        <v>0</v>
      </c>
      <c r="H482" s="92">
        <v>20001</v>
      </c>
      <c r="I482" s="92">
        <v>4762</v>
      </c>
      <c r="J482" s="217">
        <f t="shared" si="13"/>
        <v>0.23808809559522023</v>
      </c>
    </row>
    <row r="483" spans="1:10" ht="15.75" customHeight="1">
      <c r="A483" s="216" t="s">
        <v>34</v>
      </c>
      <c r="B483" s="75"/>
      <c r="C483" s="72" t="s">
        <v>35</v>
      </c>
      <c r="D483" s="75"/>
      <c r="E483" s="75"/>
      <c r="F483" s="75"/>
      <c r="G483" s="94">
        <f>SUM(G484)</f>
        <v>0</v>
      </c>
      <c r="H483" s="94">
        <f>SUM(H484)</f>
        <v>97601</v>
      </c>
      <c r="I483" s="94">
        <f>SUM(I484)</f>
        <v>97601</v>
      </c>
      <c r="J483" s="217">
        <f t="shared" si="13"/>
        <v>1</v>
      </c>
    </row>
    <row r="484" spans="1:10" ht="15.75" customHeight="1">
      <c r="A484" s="218"/>
      <c r="B484" s="72" t="s">
        <v>408</v>
      </c>
      <c r="C484" s="75"/>
      <c r="D484" s="75" t="s">
        <v>409</v>
      </c>
      <c r="E484" s="75"/>
      <c r="F484" s="75"/>
      <c r="G484" s="92">
        <v>0</v>
      </c>
      <c r="H484" s="92">
        <v>97601</v>
      </c>
      <c r="I484" s="92">
        <v>97601</v>
      </c>
      <c r="J484" s="217">
        <f t="shared" si="13"/>
        <v>1</v>
      </c>
    </row>
    <row r="485" spans="1:10" ht="15.75" customHeight="1">
      <c r="A485" s="218"/>
      <c r="B485" s="75"/>
      <c r="C485" s="75"/>
      <c r="D485" s="75"/>
      <c r="E485" s="75"/>
      <c r="F485" s="75"/>
      <c r="G485" s="92"/>
      <c r="H485" s="92"/>
      <c r="I485" s="127"/>
      <c r="J485" s="217"/>
    </row>
    <row r="486" spans="1:10" ht="15.75" customHeight="1">
      <c r="A486" s="176" t="s">
        <v>361</v>
      </c>
      <c r="B486" s="88"/>
      <c r="C486" s="88"/>
      <c r="D486" s="88"/>
      <c r="E486" s="88"/>
      <c r="F486" s="98">
        <v>0.25</v>
      </c>
      <c r="G486" s="91">
        <f>G487+G492</f>
        <v>749177</v>
      </c>
      <c r="H486" s="91">
        <f>H487+H492+H495</f>
        <v>829177</v>
      </c>
      <c r="I486" s="91">
        <f>I487+I492+I495</f>
        <v>576713</v>
      </c>
      <c r="J486" s="192">
        <f t="shared" si="13"/>
        <v>0.6955245984874159</v>
      </c>
    </row>
    <row r="487" spans="1:10" ht="15.75" customHeight="1">
      <c r="A487" s="216" t="s">
        <v>23</v>
      </c>
      <c r="B487" s="72"/>
      <c r="C487" s="72" t="s">
        <v>169</v>
      </c>
      <c r="D487" s="72"/>
      <c r="E487" s="72"/>
      <c r="F487" s="75"/>
      <c r="G487" s="94">
        <f>SUM(G488)</f>
        <v>622250</v>
      </c>
      <c r="H487" s="94">
        <f>SUM(H488)</f>
        <v>622250</v>
      </c>
      <c r="I487" s="94">
        <f>SUM(I488)</f>
        <v>441135</v>
      </c>
      <c r="J487" s="217">
        <f t="shared" si="13"/>
        <v>0.7089353153877059</v>
      </c>
    </row>
    <row r="488" spans="1:10" ht="15.75" customHeight="1">
      <c r="A488" s="218"/>
      <c r="B488" s="72" t="s">
        <v>170</v>
      </c>
      <c r="C488" s="72"/>
      <c r="D488" s="72" t="s">
        <v>171</v>
      </c>
      <c r="E488" s="72"/>
      <c r="F488" s="75"/>
      <c r="G488" s="94">
        <f>SUM(G489:G491)</f>
        <v>622250</v>
      </c>
      <c r="H488" s="94">
        <f>SUM(H489:H491)</f>
        <v>622250</v>
      </c>
      <c r="I488" s="94">
        <f>SUM(I489:I491)</f>
        <v>441135</v>
      </c>
      <c r="J488" s="217">
        <f t="shared" si="13"/>
        <v>0.7089353153877059</v>
      </c>
    </row>
    <row r="489" spans="1:10" ht="15.75" customHeight="1">
      <c r="A489" s="219"/>
      <c r="B489" s="75"/>
      <c r="C489" s="75" t="s">
        <v>172</v>
      </c>
      <c r="D489" s="75" t="s">
        <v>173</v>
      </c>
      <c r="E489" s="75"/>
      <c r="F489" s="75"/>
      <c r="G489" s="92">
        <v>585000</v>
      </c>
      <c r="H489" s="92">
        <v>528238</v>
      </c>
      <c r="I489" s="92">
        <v>384373</v>
      </c>
      <c r="J489" s="217">
        <f t="shared" si="13"/>
        <v>0.7276511723882038</v>
      </c>
    </row>
    <row r="490" spans="1:10" ht="15.75" customHeight="1">
      <c r="A490" s="218"/>
      <c r="B490" s="75"/>
      <c r="C490" s="75" t="s">
        <v>174</v>
      </c>
      <c r="D490" s="75" t="s">
        <v>175</v>
      </c>
      <c r="E490" s="75"/>
      <c r="F490" s="75"/>
      <c r="G490" s="92">
        <v>37250</v>
      </c>
      <c r="H490" s="92">
        <v>37250</v>
      </c>
      <c r="I490" s="92">
        <v>0</v>
      </c>
      <c r="J490" s="217">
        <f t="shared" si="13"/>
        <v>0</v>
      </c>
    </row>
    <row r="491" spans="1:10" ht="15.75" customHeight="1">
      <c r="A491" s="218"/>
      <c r="B491" s="75"/>
      <c r="C491" s="74" t="s">
        <v>254</v>
      </c>
      <c r="D491" s="75" t="s">
        <v>171</v>
      </c>
      <c r="E491" s="75"/>
      <c r="F491" s="75"/>
      <c r="G491" s="92">
        <v>0</v>
      </c>
      <c r="H491" s="92">
        <v>56762</v>
      </c>
      <c r="I491" s="92">
        <v>56762</v>
      </c>
      <c r="J491" s="217">
        <f t="shared" si="13"/>
        <v>1</v>
      </c>
    </row>
    <row r="492" spans="1:10" ht="15.75" customHeight="1">
      <c r="A492" s="216" t="s">
        <v>25</v>
      </c>
      <c r="B492" s="72"/>
      <c r="C492" s="72" t="s">
        <v>186</v>
      </c>
      <c r="D492" s="79"/>
      <c r="E492" s="79"/>
      <c r="F492" s="75"/>
      <c r="G492" s="94">
        <f>SUM(G493:G494)</f>
        <v>126927</v>
      </c>
      <c r="H492" s="94">
        <f>SUM(H493:H494)</f>
        <v>126927</v>
      </c>
      <c r="I492" s="94">
        <f>SUM(I493:I494)</f>
        <v>77198</v>
      </c>
      <c r="J492" s="217">
        <f t="shared" si="13"/>
        <v>0.608207867514398</v>
      </c>
    </row>
    <row r="493" spans="1:10" ht="15.75" customHeight="1">
      <c r="A493" s="218"/>
      <c r="B493" s="75"/>
      <c r="C493" s="75"/>
      <c r="D493" s="77" t="s">
        <v>187</v>
      </c>
      <c r="E493" s="75"/>
      <c r="F493" s="75"/>
      <c r="G493" s="92">
        <v>119663</v>
      </c>
      <c r="H493" s="92">
        <v>119663</v>
      </c>
      <c r="I493" s="92">
        <v>77198</v>
      </c>
      <c r="J493" s="217">
        <f t="shared" si="13"/>
        <v>0.645128402263022</v>
      </c>
    </row>
    <row r="494" spans="1:10" ht="15.75" customHeight="1">
      <c r="A494" s="218"/>
      <c r="B494" s="75"/>
      <c r="C494" s="75"/>
      <c r="D494" s="77" t="s">
        <v>188</v>
      </c>
      <c r="E494" s="75"/>
      <c r="F494" s="75"/>
      <c r="G494" s="92">
        <v>7264</v>
      </c>
      <c r="H494" s="92">
        <v>7264</v>
      </c>
      <c r="I494" s="92">
        <v>0</v>
      </c>
      <c r="J494" s="217">
        <f t="shared" si="13"/>
        <v>0</v>
      </c>
    </row>
    <row r="495" spans="1:10" ht="15.75" customHeight="1">
      <c r="A495" s="216" t="s">
        <v>27</v>
      </c>
      <c r="B495" s="72"/>
      <c r="C495" s="72" t="s">
        <v>28</v>
      </c>
      <c r="D495" s="77"/>
      <c r="E495" s="75"/>
      <c r="F495" s="75"/>
      <c r="G495" s="94">
        <f>G496+G498+G500</f>
        <v>0</v>
      </c>
      <c r="H495" s="94">
        <f>H496+H498+H500</f>
        <v>80000</v>
      </c>
      <c r="I495" s="94">
        <f>I496+I498+I500</f>
        <v>58380</v>
      </c>
      <c r="J495" s="217">
        <f t="shared" si="13"/>
        <v>0.72975</v>
      </c>
    </row>
    <row r="496" spans="1:10" ht="15.75" customHeight="1">
      <c r="A496" s="218"/>
      <c r="B496" s="72" t="s">
        <v>189</v>
      </c>
      <c r="C496" s="82"/>
      <c r="D496" s="72" t="s">
        <v>190</v>
      </c>
      <c r="E496" s="75"/>
      <c r="F496" s="75"/>
      <c r="G496" s="92">
        <v>0</v>
      </c>
      <c r="H496" s="92">
        <f>SUM(H497)</f>
        <v>50000</v>
      </c>
      <c r="I496" s="92">
        <f>SUM(I497)</f>
        <v>33370</v>
      </c>
      <c r="J496" s="217">
        <f t="shared" si="13"/>
        <v>0.6674</v>
      </c>
    </row>
    <row r="497" spans="1:10" ht="15.75" customHeight="1">
      <c r="A497" s="218"/>
      <c r="B497" s="75"/>
      <c r="C497" s="75" t="s">
        <v>191</v>
      </c>
      <c r="D497" s="75" t="s">
        <v>192</v>
      </c>
      <c r="E497" s="75"/>
      <c r="F497" s="75"/>
      <c r="G497" s="92">
        <v>0</v>
      </c>
      <c r="H497" s="92">
        <v>50000</v>
      </c>
      <c r="I497" s="92">
        <v>33370</v>
      </c>
      <c r="J497" s="217">
        <f t="shared" si="13"/>
        <v>0.6674</v>
      </c>
    </row>
    <row r="498" spans="1:10" ht="15.75" customHeight="1">
      <c r="A498" s="218"/>
      <c r="B498" s="72" t="s">
        <v>203</v>
      </c>
      <c r="C498" s="82"/>
      <c r="D498" s="72" t="s">
        <v>204</v>
      </c>
      <c r="E498" s="75"/>
      <c r="F498" s="75"/>
      <c r="G498" s="92">
        <f>SUM(G499)</f>
        <v>0</v>
      </c>
      <c r="H498" s="92">
        <f>SUM(H499)</f>
        <v>10000</v>
      </c>
      <c r="I498" s="92">
        <f>SUM(I499)</f>
        <v>12598</v>
      </c>
      <c r="J498" s="217">
        <f t="shared" si="13"/>
        <v>1.2598</v>
      </c>
    </row>
    <row r="499" spans="1:10" ht="15.75" customHeight="1">
      <c r="A499" s="218"/>
      <c r="B499" s="75"/>
      <c r="C499" s="75" t="s">
        <v>214</v>
      </c>
      <c r="D499" s="75" t="s">
        <v>215</v>
      </c>
      <c r="E499" s="75"/>
      <c r="F499" s="75"/>
      <c r="G499" s="92">
        <v>0</v>
      </c>
      <c r="H499" s="92">
        <v>10000</v>
      </c>
      <c r="I499" s="92">
        <v>12598</v>
      </c>
      <c r="J499" s="217">
        <f t="shared" si="13"/>
        <v>1.2598</v>
      </c>
    </row>
    <row r="500" spans="1:10" ht="15.75" customHeight="1">
      <c r="A500" s="218"/>
      <c r="B500" s="72" t="s">
        <v>221</v>
      </c>
      <c r="C500" s="82"/>
      <c r="D500" s="72" t="s">
        <v>222</v>
      </c>
      <c r="E500" s="75"/>
      <c r="F500" s="75"/>
      <c r="G500" s="92">
        <f>SUM(G501)</f>
        <v>0</v>
      </c>
      <c r="H500" s="92">
        <f>SUM(H501)</f>
        <v>20000</v>
      </c>
      <c r="I500" s="92">
        <f>SUM(I501)</f>
        <v>12412</v>
      </c>
      <c r="J500" s="217">
        <f t="shared" si="13"/>
        <v>0.6206</v>
      </c>
    </row>
    <row r="501" spans="1:10" ht="15.75" customHeight="1">
      <c r="A501" s="218"/>
      <c r="B501" s="75"/>
      <c r="C501" s="75" t="s">
        <v>223</v>
      </c>
      <c r="D501" s="75" t="s">
        <v>224</v>
      </c>
      <c r="E501" s="75"/>
      <c r="F501" s="75"/>
      <c r="G501" s="92">
        <v>0</v>
      </c>
      <c r="H501" s="127">
        <v>20000</v>
      </c>
      <c r="I501" s="127">
        <v>12412</v>
      </c>
      <c r="J501" s="217">
        <f t="shared" si="13"/>
        <v>0.6206</v>
      </c>
    </row>
    <row r="502" spans="1:10" ht="15.75" customHeight="1">
      <c r="A502" s="218"/>
      <c r="B502" s="75"/>
      <c r="C502" s="75"/>
      <c r="D502" s="75"/>
      <c r="E502" s="75"/>
      <c r="F502" s="75"/>
      <c r="G502" s="92"/>
      <c r="H502" s="65"/>
      <c r="I502" s="127"/>
      <c r="J502" s="217"/>
    </row>
    <row r="503" spans="1:10" ht="15.75" customHeight="1">
      <c r="A503" s="176" t="s">
        <v>164</v>
      </c>
      <c r="B503" s="88"/>
      <c r="C503" s="88"/>
      <c r="D503" s="88"/>
      <c r="E503" s="88"/>
      <c r="F503" s="98">
        <v>2.5</v>
      </c>
      <c r="G503" s="91">
        <f>G504+G512+G515+G534</f>
        <v>25548707</v>
      </c>
      <c r="H503" s="91">
        <f>H504+H512+H515+H534</f>
        <v>25613507</v>
      </c>
      <c r="I503" s="91">
        <f>I504+I512+I515+I534</f>
        <v>21582732</v>
      </c>
      <c r="J503" s="192">
        <f t="shared" si="13"/>
        <v>0.8426308822138256</v>
      </c>
    </row>
    <row r="504" spans="1:10" ht="15.75" customHeight="1">
      <c r="A504" s="216" t="s">
        <v>23</v>
      </c>
      <c r="B504" s="72"/>
      <c r="C504" s="72" t="s">
        <v>169</v>
      </c>
      <c r="D504" s="72"/>
      <c r="E504" s="72"/>
      <c r="F504" s="75"/>
      <c r="G504" s="94">
        <f>G505+G510</f>
        <v>7441700</v>
      </c>
      <c r="H504" s="94">
        <f>H505+H510</f>
        <v>7506500</v>
      </c>
      <c r="I504" s="94">
        <f>I505+I510</f>
        <v>7468248</v>
      </c>
      <c r="J504" s="217">
        <f t="shared" si="13"/>
        <v>0.9949041497368947</v>
      </c>
    </row>
    <row r="505" spans="1:10" ht="15.75" customHeight="1">
      <c r="A505" s="218"/>
      <c r="B505" s="72" t="s">
        <v>170</v>
      </c>
      <c r="C505" s="72"/>
      <c r="D505" s="72" t="s">
        <v>171</v>
      </c>
      <c r="E505" s="72"/>
      <c r="F505" s="75"/>
      <c r="G505" s="94">
        <f>SUM(G506:G509)</f>
        <v>7441700</v>
      </c>
      <c r="H505" s="94">
        <f>SUM(H506:H509)</f>
        <v>7506500</v>
      </c>
      <c r="I505" s="94">
        <f>SUM(I506:I509)</f>
        <v>7468248</v>
      </c>
      <c r="J505" s="217">
        <f t="shared" si="13"/>
        <v>0.9949041497368947</v>
      </c>
    </row>
    <row r="506" spans="1:10" ht="15.75" customHeight="1">
      <c r="A506" s="219"/>
      <c r="B506" s="75"/>
      <c r="C506" s="75" t="s">
        <v>172</v>
      </c>
      <c r="D506" s="75" t="s">
        <v>173</v>
      </c>
      <c r="E506" s="75"/>
      <c r="F506" s="75"/>
      <c r="G506" s="92">
        <v>6739200</v>
      </c>
      <c r="H506" s="92">
        <v>6739200</v>
      </c>
      <c r="I506" s="92">
        <v>6739200</v>
      </c>
      <c r="J506" s="217">
        <f t="shared" si="13"/>
        <v>1</v>
      </c>
    </row>
    <row r="507" spans="1:10" ht="15.75" customHeight="1">
      <c r="A507" s="219"/>
      <c r="B507" s="75"/>
      <c r="C507" s="75" t="s">
        <v>359</v>
      </c>
      <c r="D507" s="75" t="s">
        <v>391</v>
      </c>
      <c r="E507" s="75"/>
      <c r="F507" s="75"/>
      <c r="G507" s="92">
        <v>330000</v>
      </c>
      <c r="H507" s="92">
        <v>330000</v>
      </c>
      <c r="I507" s="92">
        <v>285300</v>
      </c>
      <c r="J507" s="217">
        <f t="shared" si="13"/>
        <v>0.8645454545454545</v>
      </c>
    </row>
    <row r="508" spans="1:10" ht="15.75" customHeight="1">
      <c r="A508" s="218"/>
      <c r="B508" s="75"/>
      <c r="C508" s="75" t="s">
        <v>174</v>
      </c>
      <c r="D508" s="75" t="s">
        <v>175</v>
      </c>
      <c r="E508" s="75"/>
      <c r="F508" s="75"/>
      <c r="G508" s="92">
        <v>372500</v>
      </c>
      <c r="H508" s="92">
        <v>372500</v>
      </c>
      <c r="I508" s="92">
        <v>371748</v>
      </c>
      <c r="J508" s="217">
        <f t="shared" si="13"/>
        <v>0.9979812080536913</v>
      </c>
    </row>
    <row r="509" spans="1:10" ht="15.75" customHeight="1">
      <c r="A509" s="218"/>
      <c r="B509" s="75"/>
      <c r="C509" s="75" t="s">
        <v>254</v>
      </c>
      <c r="D509" s="75" t="s">
        <v>171</v>
      </c>
      <c r="E509" s="75"/>
      <c r="F509" s="75"/>
      <c r="G509" s="92">
        <v>0</v>
      </c>
      <c r="H509" s="92">
        <v>64800</v>
      </c>
      <c r="I509" s="92">
        <v>72000</v>
      </c>
      <c r="J509" s="217">
        <f t="shared" si="13"/>
        <v>1.1111111111111112</v>
      </c>
    </row>
    <row r="510" spans="1:10" ht="15.75" customHeight="1">
      <c r="A510" s="218"/>
      <c r="B510" s="72" t="s">
        <v>176</v>
      </c>
      <c r="C510" s="72"/>
      <c r="D510" s="72" t="s">
        <v>177</v>
      </c>
      <c r="E510" s="72"/>
      <c r="F510" s="75"/>
      <c r="G510" s="94">
        <f>SUM(G511)</f>
        <v>0</v>
      </c>
      <c r="H510" s="94">
        <f>SUM(H511)</f>
        <v>0</v>
      </c>
      <c r="I510" s="94">
        <f>SUM(I511)</f>
        <v>0</v>
      </c>
      <c r="J510" s="217"/>
    </row>
    <row r="511" spans="1:10" ht="15.75" customHeight="1">
      <c r="A511" s="218"/>
      <c r="B511" s="75"/>
      <c r="C511" s="75" t="s">
        <v>184</v>
      </c>
      <c r="D511" s="75" t="s">
        <v>185</v>
      </c>
      <c r="E511" s="75"/>
      <c r="F511" s="75"/>
      <c r="G511" s="92">
        <v>0</v>
      </c>
      <c r="H511" s="92">
        <v>0</v>
      </c>
      <c r="I511" s="92">
        <v>0</v>
      </c>
      <c r="J511" s="217"/>
    </row>
    <row r="512" spans="1:10" ht="15.75" customHeight="1">
      <c r="A512" s="216" t="s">
        <v>25</v>
      </c>
      <c r="B512" s="72"/>
      <c r="C512" s="72" t="s">
        <v>186</v>
      </c>
      <c r="D512" s="79"/>
      <c r="E512" s="79"/>
      <c r="F512" s="75"/>
      <c r="G512" s="94">
        <f>SUM(G513:G514)</f>
        <v>1507007</v>
      </c>
      <c r="H512" s="94">
        <f>SUM(H513:H514)</f>
        <v>1507007</v>
      </c>
      <c r="I512" s="94">
        <f>SUM(I513:I514)</f>
        <v>1360864</v>
      </c>
      <c r="J512" s="217">
        <f t="shared" si="13"/>
        <v>0.9030243389712191</v>
      </c>
    </row>
    <row r="513" spans="1:10" ht="15.75" customHeight="1">
      <c r="A513" s="218"/>
      <c r="B513" s="75"/>
      <c r="C513" s="75"/>
      <c r="D513" s="77" t="s">
        <v>187</v>
      </c>
      <c r="E513" s="75"/>
      <c r="F513" s="75"/>
      <c r="G513" s="92">
        <f>1386782+64350</f>
        <v>1451132</v>
      </c>
      <c r="H513" s="92">
        <f>1386782+64350</f>
        <v>1451132</v>
      </c>
      <c r="I513" s="92">
        <v>1305101</v>
      </c>
      <c r="J513" s="217">
        <f t="shared" si="13"/>
        <v>0.8993675282469135</v>
      </c>
    </row>
    <row r="514" spans="1:10" ht="15.75" customHeight="1">
      <c r="A514" s="218"/>
      <c r="B514" s="75"/>
      <c r="C514" s="75"/>
      <c r="D514" s="77" t="s">
        <v>188</v>
      </c>
      <c r="E514" s="75"/>
      <c r="F514" s="75"/>
      <c r="G514" s="92">
        <v>55875</v>
      </c>
      <c r="H514" s="92">
        <v>55875</v>
      </c>
      <c r="I514" s="92">
        <v>55763</v>
      </c>
      <c r="J514" s="217">
        <f t="shared" si="13"/>
        <v>0.9979955257270694</v>
      </c>
    </row>
    <row r="515" spans="1:10" ht="15.75" customHeight="1">
      <c r="A515" s="216" t="s">
        <v>27</v>
      </c>
      <c r="B515" s="72"/>
      <c r="C515" s="72" t="s">
        <v>28</v>
      </c>
      <c r="D515" s="72"/>
      <c r="E515" s="72"/>
      <c r="F515" s="75"/>
      <c r="G515" s="94">
        <f>G516+G519+G522+G529+G532</f>
        <v>13600000</v>
      </c>
      <c r="H515" s="94">
        <f>H516+H519+H522+H529+H532</f>
        <v>13600000</v>
      </c>
      <c r="I515" s="94">
        <f>I516+I519+I522+I529+I532</f>
        <v>11065631</v>
      </c>
      <c r="J515" s="217">
        <f t="shared" si="13"/>
        <v>0.8136493382352942</v>
      </c>
    </row>
    <row r="516" spans="1:10" ht="15.75" customHeight="1">
      <c r="A516" s="220"/>
      <c r="B516" s="72" t="s">
        <v>189</v>
      </c>
      <c r="C516" s="82"/>
      <c r="D516" s="72" t="s">
        <v>190</v>
      </c>
      <c r="E516" s="83"/>
      <c r="F516" s="75"/>
      <c r="G516" s="94">
        <f>G517+G518</f>
        <v>1950000</v>
      </c>
      <c r="H516" s="94">
        <f>H517+H518</f>
        <v>2233289</v>
      </c>
      <c r="I516" s="94">
        <f>I517+I518</f>
        <v>2154529</v>
      </c>
      <c r="J516" s="217">
        <f t="shared" si="13"/>
        <v>0.9647336282944124</v>
      </c>
    </row>
    <row r="517" spans="1:10" ht="15.75" customHeight="1">
      <c r="A517" s="218"/>
      <c r="B517" s="75"/>
      <c r="C517" s="75" t="s">
        <v>191</v>
      </c>
      <c r="D517" s="75" t="s">
        <v>192</v>
      </c>
      <c r="E517" s="81"/>
      <c r="F517" s="75"/>
      <c r="G517" s="92">
        <v>350000</v>
      </c>
      <c r="H517" s="92">
        <v>350000</v>
      </c>
      <c r="I517" s="92">
        <v>271240</v>
      </c>
      <c r="J517" s="217">
        <f t="shared" si="13"/>
        <v>0.7749714285714285</v>
      </c>
    </row>
    <row r="518" spans="1:10" ht="15.75" customHeight="1">
      <c r="A518" s="218"/>
      <c r="B518" s="75"/>
      <c r="C518" s="75" t="s">
        <v>194</v>
      </c>
      <c r="D518" s="75" t="s">
        <v>195</v>
      </c>
      <c r="E518" s="75"/>
      <c r="F518" s="75"/>
      <c r="G518" s="92">
        <v>1600000</v>
      </c>
      <c r="H518" s="92">
        <v>1883289</v>
      </c>
      <c r="I518" s="92">
        <v>1883289</v>
      </c>
      <c r="J518" s="217">
        <f t="shared" si="13"/>
        <v>1</v>
      </c>
    </row>
    <row r="519" spans="1:10" ht="15.75" customHeight="1">
      <c r="A519" s="220"/>
      <c r="B519" s="72" t="s">
        <v>197</v>
      </c>
      <c r="C519" s="82"/>
      <c r="D519" s="72" t="s">
        <v>198</v>
      </c>
      <c r="E519" s="82"/>
      <c r="F519" s="75"/>
      <c r="G519" s="94">
        <f>G520+G521</f>
        <v>420000</v>
      </c>
      <c r="H519" s="94">
        <f>H520+H521</f>
        <v>455137</v>
      </c>
      <c r="I519" s="94">
        <f>I520+I521</f>
        <v>394276</v>
      </c>
      <c r="J519" s="217">
        <f t="shared" si="13"/>
        <v>0.8662798234377781</v>
      </c>
    </row>
    <row r="520" spans="1:10" ht="15.75" customHeight="1">
      <c r="A520" s="218"/>
      <c r="B520" s="75"/>
      <c r="C520" s="75" t="s">
        <v>199</v>
      </c>
      <c r="D520" s="75" t="s">
        <v>200</v>
      </c>
      <c r="E520" s="75"/>
      <c r="F520" s="75"/>
      <c r="G520" s="92">
        <v>300000</v>
      </c>
      <c r="H520" s="92">
        <v>335137</v>
      </c>
      <c r="I520" s="92">
        <v>335137</v>
      </c>
      <c r="J520" s="217">
        <f t="shared" si="13"/>
        <v>1</v>
      </c>
    </row>
    <row r="521" spans="1:10" ht="15.75" customHeight="1">
      <c r="A521" s="218"/>
      <c r="B521" s="75"/>
      <c r="C521" s="75" t="s">
        <v>201</v>
      </c>
      <c r="D521" s="75" t="s">
        <v>202</v>
      </c>
      <c r="E521" s="75"/>
      <c r="F521" s="75"/>
      <c r="G521" s="92">
        <v>120000</v>
      </c>
      <c r="H521" s="92">
        <v>120000</v>
      </c>
      <c r="I521" s="92">
        <v>59139</v>
      </c>
      <c r="J521" s="217">
        <f t="shared" si="13"/>
        <v>0.492825</v>
      </c>
    </row>
    <row r="522" spans="1:10" ht="15.75" customHeight="1">
      <c r="A522" s="220"/>
      <c r="B522" s="72" t="s">
        <v>203</v>
      </c>
      <c r="C522" s="82"/>
      <c r="D522" s="72" t="s">
        <v>204</v>
      </c>
      <c r="E522" s="82"/>
      <c r="F522" s="75"/>
      <c r="G522" s="94">
        <f>G523+G527+G528</f>
        <v>8350000</v>
      </c>
      <c r="H522" s="94">
        <f>H523+H527+H528</f>
        <v>8031574</v>
      </c>
      <c r="I522" s="94">
        <f>I523+I527+I528</f>
        <v>7283262</v>
      </c>
      <c r="J522" s="217">
        <f t="shared" si="13"/>
        <v>0.9068287237346004</v>
      </c>
    </row>
    <row r="523" spans="1:10" ht="15.75" customHeight="1">
      <c r="A523" s="218"/>
      <c r="B523" s="75"/>
      <c r="C523" s="75" t="s">
        <v>205</v>
      </c>
      <c r="D523" s="75" t="s">
        <v>206</v>
      </c>
      <c r="E523" s="75"/>
      <c r="F523" s="75"/>
      <c r="G523" s="92">
        <f>SUM(G524:G526)</f>
        <v>1200000</v>
      </c>
      <c r="H523" s="92">
        <f>SUM(H524:H526)</f>
        <v>881574</v>
      </c>
      <c r="I523" s="92">
        <f>SUM(I524:I526)</f>
        <v>701140</v>
      </c>
      <c r="J523" s="217">
        <f t="shared" si="13"/>
        <v>0.7953274484047851</v>
      </c>
    </row>
    <row r="524" spans="1:10" ht="15.75" customHeight="1">
      <c r="A524" s="218"/>
      <c r="B524" s="75"/>
      <c r="C524" s="75"/>
      <c r="D524" s="75"/>
      <c r="E524" s="77" t="s">
        <v>207</v>
      </c>
      <c r="F524" s="75"/>
      <c r="G524" s="92">
        <v>300000</v>
      </c>
      <c r="H524" s="92">
        <v>281574</v>
      </c>
      <c r="I524" s="92">
        <v>200000</v>
      </c>
      <c r="J524" s="217">
        <f t="shared" si="13"/>
        <v>0.7102928537435985</v>
      </c>
    </row>
    <row r="525" spans="1:10" ht="15.75" customHeight="1">
      <c r="A525" s="218"/>
      <c r="B525" s="75"/>
      <c r="C525" s="75"/>
      <c r="D525" s="75"/>
      <c r="E525" s="77" t="s">
        <v>208</v>
      </c>
      <c r="F525" s="75"/>
      <c r="G525" s="92">
        <v>800000</v>
      </c>
      <c r="H525" s="92">
        <v>500000</v>
      </c>
      <c r="I525" s="92">
        <v>401140</v>
      </c>
      <c r="J525" s="217">
        <f aca="true" t="shared" si="14" ref="J525:J588">I525/H525</f>
        <v>0.80228</v>
      </c>
    </row>
    <row r="526" spans="1:10" ht="15.75" customHeight="1">
      <c r="A526" s="218"/>
      <c r="B526" s="75"/>
      <c r="C526" s="75"/>
      <c r="D526" s="75"/>
      <c r="E526" s="77" t="s">
        <v>209</v>
      </c>
      <c r="F526" s="75"/>
      <c r="G526" s="92">
        <v>100000</v>
      </c>
      <c r="H526" s="92">
        <v>100000</v>
      </c>
      <c r="I526" s="92">
        <v>100000</v>
      </c>
      <c r="J526" s="217">
        <f t="shared" si="14"/>
        <v>1</v>
      </c>
    </row>
    <row r="527" spans="1:10" ht="15.75" customHeight="1">
      <c r="A527" s="218"/>
      <c r="B527" s="75"/>
      <c r="C527" s="75" t="s">
        <v>212</v>
      </c>
      <c r="D527" s="75" t="s">
        <v>213</v>
      </c>
      <c r="E527" s="75"/>
      <c r="F527" s="75"/>
      <c r="G527" s="92">
        <v>150000</v>
      </c>
      <c r="H527" s="92">
        <v>150000</v>
      </c>
      <c r="I527" s="92">
        <v>72200</v>
      </c>
      <c r="J527" s="217">
        <f t="shared" si="14"/>
        <v>0.48133333333333334</v>
      </c>
    </row>
    <row r="528" spans="1:10" ht="15.75" customHeight="1">
      <c r="A528" s="218"/>
      <c r="B528" s="75"/>
      <c r="C528" s="75" t="s">
        <v>214</v>
      </c>
      <c r="D528" s="75" t="s">
        <v>215</v>
      </c>
      <c r="E528" s="75"/>
      <c r="F528" s="75"/>
      <c r="G528" s="92">
        <v>7000000</v>
      </c>
      <c r="H528" s="92">
        <v>7000000</v>
      </c>
      <c r="I528" s="92">
        <v>6509922</v>
      </c>
      <c r="J528" s="217">
        <f t="shared" si="14"/>
        <v>0.9299888571428572</v>
      </c>
    </row>
    <row r="529" spans="1:10" ht="15.75" customHeight="1">
      <c r="A529" s="220"/>
      <c r="B529" s="72" t="s">
        <v>216</v>
      </c>
      <c r="C529" s="82"/>
      <c r="D529" s="72" t="s">
        <v>217</v>
      </c>
      <c r="E529" s="82"/>
      <c r="F529" s="75"/>
      <c r="G529" s="94">
        <f>G530+G531</f>
        <v>380000</v>
      </c>
      <c r="H529" s="94">
        <f>H530+H531</f>
        <v>380000</v>
      </c>
      <c r="I529" s="94">
        <f>I530+I531</f>
        <v>253177</v>
      </c>
      <c r="J529" s="217">
        <f t="shared" si="14"/>
        <v>0.6662552631578947</v>
      </c>
    </row>
    <row r="530" spans="1:10" ht="15.75" customHeight="1">
      <c r="A530" s="218"/>
      <c r="B530" s="75"/>
      <c r="C530" s="75" t="s">
        <v>218</v>
      </c>
      <c r="D530" s="75" t="s">
        <v>219</v>
      </c>
      <c r="E530" s="75"/>
      <c r="F530" s="75"/>
      <c r="G530" s="92">
        <v>280000</v>
      </c>
      <c r="H530" s="92">
        <v>280000</v>
      </c>
      <c r="I530" s="92">
        <v>239650</v>
      </c>
      <c r="J530" s="217">
        <f t="shared" si="14"/>
        <v>0.8558928571428571</v>
      </c>
    </row>
    <row r="531" spans="1:10" ht="15.75" customHeight="1">
      <c r="A531" s="218"/>
      <c r="B531" s="75"/>
      <c r="C531" s="75" t="s">
        <v>279</v>
      </c>
      <c r="D531" s="75" t="s">
        <v>280</v>
      </c>
      <c r="E531" s="75"/>
      <c r="F531" s="75"/>
      <c r="G531" s="92">
        <v>100000</v>
      </c>
      <c r="H531" s="92">
        <v>100000</v>
      </c>
      <c r="I531" s="92">
        <v>13527</v>
      </c>
      <c r="J531" s="217">
        <f t="shared" si="14"/>
        <v>0.13527</v>
      </c>
    </row>
    <row r="532" spans="1:10" ht="15.75" customHeight="1">
      <c r="A532" s="220"/>
      <c r="B532" s="72" t="s">
        <v>221</v>
      </c>
      <c r="C532" s="82"/>
      <c r="D532" s="72" t="s">
        <v>222</v>
      </c>
      <c r="E532" s="82"/>
      <c r="F532" s="75"/>
      <c r="G532" s="94">
        <v>2500000</v>
      </c>
      <c r="H532" s="94">
        <v>2500000</v>
      </c>
      <c r="I532" s="94">
        <f>SUM(I533)</f>
        <v>980387</v>
      </c>
      <c r="J532" s="217">
        <f t="shared" si="14"/>
        <v>0.3921548</v>
      </c>
    </row>
    <row r="533" spans="1:10" ht="15.75" customHeight="1">
      <c r="A533" s="218"/>
      <c r="B533" s="75"/>
      <c r="C533" s="75" t="s">
        <v>223</v>
      </c>
      <c r="D533" s="75" t="s">
        <v>224</v>
      </c>
      <c r="E533" s="75"/>
      <c r="F533" s="75"/>
      <c r="G533" s="92">
        <v>2500000</v>
      </c>
      <c r="H533" s="92">
        <v>2500000</v>
      </c>
      <c r="I533" s="92">
        <v>980387</v>
      </c>
      <c r="J533" s="217">
        <f t="shared" si="14"/>
        <v>0.3921548</v>
      </c>
    </row>
    <row r="534" spans="1:10" ht="15.75" customHeight="1">
      <c r="A534" s="221" t="s">
        <v>34</v>
      </c>
      <c r="B534" s="75"/>
      <c r="C534" s="72" t="s">
        <v>35</v>
      </c>
      <c r="D534" s="75"/>
      <c r="E534" s="75"/>
      <c r="F534" s="75"/>
      <c r="G534" s="94">
        <f>SUM(G535:G536)</f>
        <v>3000000</v>
      </c>
      <c r="H534" s="94">
        <f>SUM(H535:H536)</f>
        <v>3000000</v>
      </c>
      <c r="I534" s="94">
        <f>SUM(I535:I536)</f>
        <v>1687989</v>
      </c>
      <c r="J534" s="217">
        <f t="shared" si="14"/>
        <v>0.562663</v>
      </c>
    </row>
    <row r="535" spans="1:10" ht="15.75" customHeight="1">
      <c r="A535" s="218"/>
      <c r="B535" s="72" t="s">
        <v>382</v>
      </c>
      <c r="C535" s="75"/>
      <c r="D535" s="75" t="s">
        <v>383</v>
      </c>
      <c r="E535" s="75"/>
      <c r="F535" s="75"/>
      <c r="G535" s="92">
        <v>2362200</v>
      </c>
      <c r="H535" s="92">
        <v>2362200</v>
      </c>
      <c r="I535" s="92">
        <v>1329125</v>
      </c>
      <c r="J535" s="217">
        <f t="shared" si="14"/>
        <v>0.5626640419947506</v>
      </c>
    </row>
    <row r="536" spans="1:10" ht="15.75" customHeight="1">
      <c r="A536" s="218"/>
      <c r="B536" s="72" t="s">
        <v>261</v>
      </c>
      <c r="C536" s="75"/>
      <c r="D536" s="75" t="s">
        <v>262</v>
      </c>
      <c r="E536" s="75"/>
      <c r="F536" s="75"/>
      <c r="G536" s="92">
        <v>637800</v>
      </c>
      <c r="H536" s="92">
        <v>637800</v>
      </c>
      <c r="I536" s="92">
        <v>358864</v>
      </c>
      <c r="J536" s="217">
        <f t="shared" si="14"/>
        <v>0.5626591407964879</v>
      </c>
    </row>
    <row r="537" spans="1:10" ht="15.75" customHeight="1">
      <c r="A537" s="218"/>
      <c r="B537" s="72"/>
      <c r="C537" s="75"/>
      <c r="D537" s="75"/>
      <c r="E537" s="75"/>
      <c r="F537" s="75"/>
      <c r="G537" s="92"/>
      <c r="H537" s="92"/>
      <c r="I537" s="127"/>
      <c r="J537" s="217"/>
    </row>
    <row r="538" spans="1:10" ht="15.75" customHeight="1">
      <c r="A538" s="176" t="s">
        <v>428</v>
      </c>
      <c r="B538" s="88"/>
      <c r="C538" s="88"/>
      <c r="D538" s="88"/>
      <c r="E538" s="88"/>
      <c r="F538" s="88"/>
      <c r="G538" s="91">
        <v>0</v>
      </c>
      <c r="H538" s="91">
        <f>SUM(H539)</f>
        <v>618500</v>
      </c>
      <c r="I538" s="91">
        <f>SUM(I539)</f>
        <v>618500</v>
      </c>
      <c r="J538" s="192">
        <f t="shared" si="14"/>
        <v>1</v>
      </c>
    </row>
    <row r="539" spans="1:10" ht="15.75" customHeight="1">
      <c r="A539" s="216" t="s">
        <v>27</v>
      </c>
      <c r="B539" s="72"/>
      <c r="C539" s="72" t="s">
        <v>28</v>
      </c>
      <c r="D539" s="75"/>
      <c r="E539" s="75"/>
      <c r="F539" s="75"/>
      <c r="G539" s="92"/>
      <c r="H539" s="92">
        <f>H540+H542</f>
        <v>618500</v>
      </c>
      <c r="I539" s="92">
        <f>I540+I542</f>
        <v>618500</v>
      </c>
      <c r="J539" s="217">
        <f t="shared" si="14"/>
        <v>1</v>
      </c>
    </row>
    <row r="540" spans="1:10" ht="15.75" customHeight="1">
      <c r="A540" s="218"/>
      <c r="B540" s="72" t="s">
        <v>203</v>
      </c>
      <c r="C540" s="82"/>
      <c r="D540" s="72" t="s">
        <v>204</v>
      </c>
      <c r="E540" s="75"/>
      <c r="F540" s="75"/>
      <c r="G540" s="92">
        <v>0</v>
      </c>
      <c r="H540" s="92">
        <f>SUM(H541)</f>
        <v>591020</v>
      </c>
      <c r="I540" s="92">
        <f>SUM(I541)</f>
        <v>591020</v>
      </c>
      <c r="J540" s="217">
        <f t="shared" si="14"/>
        <v>1</v>
      </c>
    </row>
    <row r="541" spans="1:10" ht="15.75" customHeight="1">
      <c r="A541" s="218"/>
      <c r="B541" s="72"/>
      <c r="C541" s="75" t="s">
        <v>214</v>
      </c>
      <c r="D541" s="75" t="s">
        <v>215</v>
      </c>
      <c r="E541" s="75"/>
      <c r="F541" s="75"/>
      <c r="G541" s="92"/>
      <c r="H541" s="92">
        <v>591020</v>
      </c>
      <c r="I541" s="92">
        <v>591020</v>
      </c>
      <c r="J541" s="217">
        <f t="shared" si="14"/>
        <v>1</v>
      </c>
    </row>
    <row r="542" spans="1:10" ht="15.75" customHeight="1">
      <c r="A542" s="218"/>
      <c r="B542" s="72" t="s">
        <v>221</v>
      </c>
      <c r="C542" s="82"/>
      <c r="D542" s="72" t="s">
        <v>222</v>
      </c>
      <c r="E542" s="75"/>
      <c r="F542" s="75"/>
      <c r="G542" s="92"/>
      <c r="H542" s="92">
        <f>SUM(H543)</f>
        <v>27480</v>
      </c>
      <c r="I542" s="92">
        <f>SUM(I543)</f>
        <v>27480</v>
      </c>
      <c r="J542" s="217">
        <f t="shared" si="14"/>
        <v>1</v>
      </c>
    </row>
    <row r="543" spans="1:10" ht="15.75" customHeight="1">
      <c r="A543" s="218"/>
      <c r="B543" s="72"/>
      <c r="C543" s="75" t="s">
        <v>223</v>
      </c>
      <c r="D543" s="75" t="s">
        <v>224</v>
      </c>
      <c r="E543" s="75"/>
      <c r="F543" s="75"/>
      <c r="G543" s="92"/>
      <c r="H543" s="92">
        <v>27480</v>
      </c>
      <c r="I543" s="92">
        <v>27480</v>
      </c>
      <c r="J543" s="217">
        <f t="shared" si="14"/>
        <v>1</v>
      </c>
    </row>
    <row r="544" spans="1:10" ht="15.75" customHeight="1">
      <c r="A544" s="218"/>
      <c r="B544" s="75"/>
      <c r="C544" s="75"/>
      <c r="D544" s="75"/>
      <c r="E544" s="75"/>
      <c r="F544" s="75"/>
      <c r="G544" s="92"/>
      <c r="H544" s="65"/>
      <c r="I544" s="127"/>
      <c r="J544" s="217"/>
    </row>
    <row r="545" spans="1:10" ht="15.75" customHeight="1">
      <c r="A545" s="176" t="s">
        <v>302</v>
      </c>
      <c r="B545" s="88"/>
      <c r="C545" s="88"/>
      <c r="D545" s="88"/>
      <c r="E545" s="88"/>
      <c r="F545" s="88"/>
      <c r="G545" s="91">
        <f>G555+G546</f>
        <v>3700000</v>
      </c>
      <c r="H545" s="91">
        <f>H555+H546</f>
        <v>5110000</v>
      </c>
      <c r="I545" s="91">
        <f>I555+I546</f>
        <v>4802116</v>
      </c>
      <c r="J545" s="192">
        <f t="shared" si="14"/>
        <v>0.9397487279843444</v>
      </c>
    </row>
    <row r="546" spans="1:10" ht="15.75" customHeight="1">
      <c r="A546" s="216" t="s">
        <v>27</v>
      </c>
      <c r="B546" s="111"/>
      <c r="C546" s="111" t="s">
        <v>28</v>
      </c>
      <c r="D546" s="111"/>
      <c r="E546" s="111"/>
      <c r="F546" s="111"/>
      <c r="G546" s="112">
        <f>G550+G547+G553</f>
        <v>3100000</v>
      </c>
      <c r="H546" s="112">
        <f>H550+H547+H553</f>
        <v>4510000</v>
      </c>
      <c r="I546" s="112">
        <f>I550+I547+I553</f>
        <v>4502116</v>
      </c>
      <c r="J546" s="217">
        <f t="shared" si="14"/>
        <v>0.9982518847006652</v>
      </c>
    </row>
    <row r="547" spans="1:10" ht="15.75" customHeight="1">
      <c r="A547" s="220"/>
      <c r="B547" s="72" t="s">
        <v>189</v>
      </c>
      <c r="C547" s="82"/>
      <c r="D547" s="72" t="s">
        <v>190</v>
      </c>
      <c r="E547" s="83"/>
      <c r="F547" s="111"/>
      <c r="G547" s="112">
        <f aca="true" t="shared" si="15" ref="G547:I548">G548</f>
        <v>900000</v>
      </c>
      <c r="H547" s="112">
        <f t="shared" si="15"/>
        <v>1000000</v>
      </c>
      <c r="I547" s="112">
        <f t="shared" si="15"/>
        <v>993431</v>
      </c>
      <c r="J547" s="217">
        <f t="shared" si="14"/>
        <v>0.993431</v>
      </c>
    </row>
    <row r="548" spans="1:10" ht="15.75" customHeight="1">
      <c r="A548" s="218"/>
      <c r="B548" s="75"/>
      <c r="C548" s="75" t="s">
        <v>194</v>
      </c>
      <c r="D548" s="75" t="s">
        <v>195</v>
      </c>
      <c r="E548" s="75"/>
      <c r="F548" s="111"/>
      <c r="G548" s="93">
        <f t="shared" si="15"/>
        <v>900000</v>
      </c>
      <c r="H548" s="93">
        <f t="shared" si="15"/>
        <v>1000000</v>
      </c>
      <c r="I548" s="93">
        <f t="shared" si="15"/>
        <v>993431</v>
      </c>
      <c r="J548" s="217">
        <f t="shared" si="14"/>
        <v>0.993431</v>
      </c>
    </row>
    <row r="549" spans="1:10" ht="15.75" customHeight="1">
      <c r="A549" s="216"/>
      <c r="B549" s="72"/>
      <c r="C549" s="72"/>
      <c r="D549" s="72"/>
      <c r="E549" s="77" t="s">
        <v>196</v>
      </c>
      <c r="F549" s="111"/>
      <c r="G549" s="93">
        <v>900000</v>
      </c>
      <c r="H549" s="93">
        <v>1000000</v>
      </c>
      <c r="I549" s="93">
        <v>993431</v>
      </c>
      <c r="J549" s="217">
        <f t="shared" si="14"/>
        <v>0.993431</v>
      </c>
    </row>
    <row r="550" spans="1:10" ht="15.75" customHeight="1">
      <c r="A550" s="224"/>
      <c r="B550" s="111" t="s">
        <v>203</v>
      </c>
      <c r="C550" s="111" t="s">
        <v>204</v>
      </c>
      <c r="D550" s="111"/>
      <c r="E550" s="111"/>
      <c r="F550" s="111"/>
      <c r="G550" s="112">
        <f aca="true" t="shared" si="16" ref="G550:I551">G551</f>
        <v>1800000</v>
      </c>
      <c r="H550" s="112">
        <f t="shared" si="16"/>
        <v>3110000</v>
      </c>
      <c r="I550" s="112">
        <f t="shared" si="16"/>
        <v>3107230</v>
      </c>
      <c r="J550" s="217">
        <f t="shared" si="14"/>
        <v>0.9991093247588424</v>
      </c>
    </row>
    <row r="551" spans="1:10" ht="15.75" customHeight="1">
      <c r="A551" s="224"/>
      <c r="B551" s="111"/>
      <c r="C551" s="113" t="s">
        <v>214</v>
      </c>
      <c r="D551" s="113" t="s">
        <v>215</v>
      </c>
      <c r="E551" s="113"/>
      <c r="F551" s="111"/>
      <c r="G551" s="93">
        <f t="shared" si="16"/>
        <v>1800000</v>
      </c>
      <c r="H551" s="93">
        <f t="shared" si="16"/>
        <v>3110000</v>
      </c>
      <c r="I551" s="93">
        <f t="shared" si="16"/>
        <v>3107230</v>
      </c>
      <c r="J551" s="217">
        <f t="shared" si="14"/>
        <v>0.9991093247588424</v>
      </c>
    </row>
    <row r="552" spans="1:10" ht="15.75" customHeight="1">
      <c r="A552" s="224"/>
      <c r="B552" s="111"/>
      <c r="C552" s="111"/>
      <c r="D552" s="111"/>
      <c r="E552" s="113" t="s">
        <v>303</v>
      </c>
      <c r="F552" s="111"/>
      <c r="G552" s="93">
        <v>1800000</v>
      </c>
      <c r="H552" s="93">
        <v>3110000</v>
      </c>
      <c r="I552" s="93">
        <v>3107230</v>
      </c>
      <c r="J552" s="217">
        <f t="shared" si="14"/>
        <v>0.9991093247588424</v>
      </c>
    </row>
    <row r="553" spans="1:10" ht="15.75" customHeight="1">
      <c r="A553" s="224"/>
      <c r="B553" s="72" t="s">
        <v>221</v>
      </c>
      <c r="C553" s="82"/>
      <c r="D553" s="72" t="s">
        <v>222</v>
      </c>
      <c r="E553" s="82"/>
      <c r="F553" s="111"/>
      <c r="G553" s="112">
        <f>G554</f>
        <v>400000</v>
      </c>
      <c r="H553" s="112">
        <f>H554</f>
        <v>400000</v>
      </c>
      <c r="I553" s="112">
        <f>I554</f>
        <v>401455</v>
      </c>
      <c r="J553" s="217">
        <f t="shared" si="14"/>
        <v>1.0036375</v>
      </c>
    </row>
    <row r="554" spans="1:10" ht="15.75" customHeight="1">
      <c r="A554" s="224"/>
      <c r="B554" s="75"/>
      <c r="C554" s="75" t="s">
        <v>223</v>
      </c>
      <c r="D554" s="75" t="s">
        <v>224</v>
      </c>
      <c r="E554" s="75"/>
      <c r="F554" s="111"/>
      <c r="G554" s="93">
        <v>400000</v>
      </c>
      <c r="H554" s="93">
        <v>400000</v>
      </c>
      <c r="I554" s="93">
        <v>401455</v>
      </c>
      <c r="J554" s="217">
        <f t="shared" si="14"/>
        <v>1.0036375</v>
      </c>
    </row>
    <row r="555" spans="1:10" ht="15.75" customHeight="1">
      <c r="A555" s="216" t="s">
        <v>31</v>
      </c>
      <c r="B555" s="72"/>
      <c r="C555" s="72" t="s">
        <v>32</v>
      </c>
      <c r="D555" s="72"/>
      <c r="E555" s="72"/>
      <c r="F555" s="75"/>
      <c r="G555" s="94">
        <f aca="true" t="shared" si="17" ref="G555:I556">G556</f>
        <v>600000</v>
      </c>
      <c r="H555" s="94">
        <f t="shared" si="17"/>
        <v>600000</v>
      </c>
      <c r="I555" s="94">
        <f t="shared" si="17"/>
        <v>300000</v>
      </c>
      <c r="J555" s="217">
        <f t="shared" si="14"/>
        <v>0.5</v>
      </c>
    </row>
    <row r="556" spans="1:10" ht="15.75" customHeight="1">
      <c r="A556" s="218"/>
      <c r="B556" s="75"/>
      <c r="C556" s="75" t="s">
        <v>232</v>
      </c>
      <c r="D556" s="75" t="s">
        <v>233</v>
      </c>
      <c r="E556" s="75"/>
      <c r="F556" s="75"/>
      <c r="G556" s="93">
        <f t="shared" si="17"/>
        <v>600000</v>
      </c>
      <c r="H556" s="93">
        <f t="shared" si="17"/>
        <v>600000</v>
      </c>
      <c r="I556" s="93">
        <f t="shared" si="17"/>
        <v>300000</v>
      </c>
      <c r="J556" s="217">
        <f t="shared" si="14"/>
        <v>0.5</v>
      </c>
    </row>
    <row r="557" spans="1:10" ht="15.75" customHeight="1">
      <c r="A557" s="218"/>
      <c r="B557" s="75"/>
      <c r="C557" s="75"/>
      <c r="D557" s="75"/>
      <c r="E557" s="75" t="s">
        <v>304</v>
      </c>
      <c r="F557" s="75"/>
      <c r="G557" s="93">
        <v>600000</v>
      </c>
      <c r="H557" s="93">
        <v>600000</v>
      </c>
      <c r="I557" s="93">
        <v>300000</v>
      </c>
      <c r="J557" s="217">
        <f t="shared" si="14"/>
        <v>0.5</v>
      </c>
    </row>
    <row r="558" spans="1:10" ht="15.75" customHeight="1">
      <c r="A558" s="218"/>
      <c r="B558" s="72"/>
      <c r="C558" s="75"/>
      <c r="D558" s="75"/>
      <c r="E558" s="75"/>
      <c r="F558" s="75"/>
      <c r="G558" s="92"/>
      <c r="H558" s="65"/>
      <c r="I558" s="127"/>
      <c r="J558" s="217"/>
    </row>
    <row r="559" spans="1:10" ht="15.75" customHeight="1">
      <c r="A559" s="176" t="s">
        <v>306</v>
      </c>
      <c r="B559" s="86"/>
      <c r="C559" s="86"/>
      <c r="D559" s="86"/>
      <c r="E559" s="86"/>
      <c r="F559" s="86"/>
      <c r="G559" s="91">
        <f>G560</f>
        <v>822000</v>
      </c>
      <c r="H559" s="91">
        <f>H560</f>
        <v>0</v>
      </c>
      <c r="I559" s="91">
        <f>I560</f>
        <v>0</v>
      </c>
      <c r="J559" s="91">
        <f>J560</f>
        <v>0</v>
      </c>
    </row>
    <row r="560" spans="1:10" ht="15.75" customHeight="1">
      <c r="A560" s="216" t="s">
        <v>31</v>
      </c>
      <c r="B560" s="72"/>
      <c r="C560" s="72" t="s">
        <v>32</v>
      </c>
      <c r="D560" s="72"/>
      <c r="E560" s="72"/>
      <c r="F560" s="75"/>
      <c r="G560" s="92">
        <f aca="true" t="shared" si="18" ref="G560:I561">SUM(G561)</f>
        <v>822000</v>
      </c>
      <c r="H560" s="92">
        <f t="shared" si="18"/>
        <v>0</v>
      </c>
      <c r="I560" s="92">
        <f t="shared" si="18"/>
        <v>0</v>
      </c>
      <c r="J560" s="217"/>
    </row>
    <row r="561" spans="1:10" ht="15.75" customHeight="1">
      <c r="A561" s="218"/>
      <c r="B561" s="75"/>
      <c r="C561" s="75" t="s">
        <v>227</v>
      </c>
      <c r="D561" s="75" t="s">
        <v>228</v>
      </c>
      <c r="E561" s="75"/>
      <c r="F561" s="75"/>
      <c r="G561" s="92">
        <f t="shared" si="18"/>
        <v>822000</v>
      </c>
      <c r="H561" s="92">
        <f t="shared" si="18"/>
        <v>0</v>
      </c>
      <c r="I561" s="92">
        <f t="shared" si="18"/>
        <v>0</v>
      </c>
      <c r="J561" s="217"/>
    </row>
    <row r="562" spans="1:10" ht="15.75" customHeight="1">
      <c r="A562" s="218"/>
      <c r="B562" s="75"/>
      <c r="C562" s="75"/>
      <c r="D562" s="75"/>
      <c r="E562" s="75" t="s">
        <v>307</v>
      </c>
      <c r="F562" s="75"/>
      <c r="G562" s="93">
        <v>822000</v>
      </c>
      <c r="H562" s="93">
        <v>0</v>
      </c>
      <c r="I562" s="93">
        <v>0</v>
      </c>
      <c r="J562" s="217"/>
    </row>
    <row r="563" spans="1:10" ht="15.75" customHeight="1">
      <c r="A563" s="218"/>
      <c r="B563" s="75"/>
      <c r="C563" s="75"/>
      <c r="D563" s="75"/>
      <c r="E563" s="75"/>
      <c r="F563" s="75"/>
      <c r="G563" s="92"/>
      <c r="H563" s="65"/>
      <c r="I563" s="127"/>
      <c r="J563" s="217"/>
    </row>
    <row r="564" spans="1:10" ht="15.75" customHeight="1">
      <c r="A564" s="176" t="s">
        <v>308</v>
      </c>
      <c r="B564" s="88"/>
      <c r="C564" s="88"/>
      <c r="D564" s="88"/>
      <c r="E564" s="88"/>
      <c r="F564" s="86"/>
      <c r="G564" s="91">
        <f>SUM(G572)</f>
        <v>6800000</v>
      </c>
      <c r="H564" s="91">
        <f>H565+H572</f>
        <v>10088932</v>
      </c>
      <c r="I564" s="91">
        <f>I565+I572</f>
        <v>7527032</v>
      </c>
      <c r="J564" s="192">
        <f t="shared" si="14"/>
        <v>0.7460682656994814</v>
      </c>
    </row>
    <row r="565" spans="1:10" ht="15.75" customHeight="1">
      <c r="A565" s="216" t="s">
        <v>27</v>
      </c>
      <c r="B565" s="111"/>
      <c r="C565" s="111" t="s">
        <v>28</v>
      </c>
      <c r="D565" s="165"/>
      <c r="E565" s="165"/>
      <c r="F565" s="144"/>
      <c r="G565" s="162">
        <v>0</v>
      </c>
      <c r="H565" s="162">
        <f>H566+H568+H570</f>
        <v>3288932</v>
      </c>
      <c r="I565" s="162">
        <f>I566+I568+I570</f>
        <v>3288932</v>
      </c>
      <c r="J565" s="217">
        <f t="shared" si="14"/>
        <v>1</v>
      </c>
    </row>
    <row r="566" spans="1:10" ht="15.75" customHeight="1">
      <c r="A566" s="225"/>
      <c r="B566" s="72" t="s">
        <v>189</v>
      </c>
      <c r="C566" s="82"/>
      <c r="D566" s="72" t="s">
        <v>190</v>
      </c>
      <c r="E566" s="165"/>
      <c r="F566" s="144"/>
      <c r="G566" s="163">
        <v>0</v>
      </c>
      <c r="H566" s="163">
        <f>SUM(H567)</f>
        <v>1894725</v>
      </c>
      <c r="I566" s="163">
        <f>SUM(I567)</f>
        <v>1894725</v>
      </c>
      <c r="J566" s="217">
        <f t="shared" si="14"/>
        <v>1</v>
      </c>
    </row>
    <row r="567" spans="1:10" ht="15.75" customHeight="1">
      <c r="A567" s="225"/>
      <c r="B567" s="165"/>
      <c r="C567" s="75" t="s">
        <v>194</v>
      </c>
      <c r="D567" s="75" t="s">
        <v>195</v>
      </c>
      <c r="E567" s="165"/>
      <c r="F567" s="144"/>
      <c r="G567" s="163">
        <v>0</v>
      </c>
      <c r="H567" s="163">
        <v>1894725</v>
      </c>
      <c r="I567" s="163">
        <v>1894725</v>
      </c>
      <c r="J567" s="217">
        <f t="shared" si="14"/>
        <v>1</v>
      </c>
    </row>
    <row r="568" spans="1:10" ht="15.75" customHeight="1">
      <c r="A568" s="225"/>
      <c r="B568" s="111" t="s">
        <v>203</v>
      </c>
      <c r="C568" s="111" t="s">
        <v>204</v>
      </c>
      <c r="D568" s="111"/>
      <c r="E568" s="165"/>
      <c r="F568" s="144"/>
      <c r="G568" s="163">
        <v>0</v>
      </c>
      <c r="H568" s="163">
        <f>SUM(H569)</f>
        <v>835976</v>
      </c>
      <c r="I568" s="163">
        <f>SUM(I569)</f>
        <v>835976</v>
      </c>
      <c r="J568" s="217">
        <f t="shared" si="14"/>
        <v>1</v>
      </c>
    </row>
    <row r="569" spans="1:10" ht="15.75" customHeight="1">
      <c r="A569" s="225"/>
      <c r="B569" s="111"/>
      <c r="C569" s="113" t="s">
        <v>214</v>
      </c>
      <c r="D569" s="113" t="s">
        <v>215</v>
      </c>
      <c r="E569" s="165"/>
      <c r="F569" s="144"/>
      <c r="G569" s="163">
        <v>0</v>
      </c>
      <c r="H569" s="163">
        <v>835976</v>
      </c>
      <c r="I569" s="163">
        <v>835976</v>
      </c>
      <c r="J569" s="217">
        <f t="shared" si="14"/>
        <v>1</v>
      </c>
    </row>
    <row r="570" spans="1:10" ht="15.75" customHeight="1">
      <c r="A570" s="225"/>
      <c r="B570" s="72" t="s">
        <v>221</v>
      </c>
      <c r="C570" s="82"/>
      <c r="D570" s="72" t="s">
        <v>222</v>
      </c>
      <c r="E570" s="82"/>
      <c r="F570" s="144"/>
      <c r="G570" s="163">
        <v>0</v>
      </c>
      <c r="H570" s="163">
        <f>SUM(H571)</f>
        <v>558231</v>
      </c>
      <c r="I570" s="163">
        <f>SUM(I571)</f>
        <v>558231</v>
      </c>
      <c r="J570" s="217">
        <f t="shared" si="14"/>
        <v>1</v>
      </c>
    </row>
    <row r="571" spans="1:10" ht="15.75" customHeight="1">
      <c r="A571" s="225"/>
      <c r="B571" s="75"/>
      <c r="C571" s="75" t="s">
        <v>223</v>
      </c>
      <c r="D571" s="75" t="s">
        <v>224</v>
      </c>
      <c r="E571" s="75"/>
      <c r="F571" s="144"/>
      <c r="G571" s="163">
        <v>0</v>
      </c>
      <c r="H571" s="163">
        <v>558231</v>
      </c>
      <c r="I571" s="163">
        <v>558231</v>
      </c>
      <c r="J571" s="217">
        <f t="shared" si="14"/>
        <v>1</v>
      </c>
    </row>
    <row r="572" spans="1:10" ht="15.75" customHeight="1">
      <c r="A572" s="216" t="s">
        <v>29</v>
      </c>
      <c r="B572" s="75"/>
      <c r="C572" s="72" t="s">
        <v>305</v>
      </c>
      <c r="D572" s="72"/>
      <c r="E572" s="72"/>
      <c r="F572" s="75"/>
      <c r="G572" s="94">
        <f>G573+G575</f>
        <v>6800000</v>
      </c>
      <c r="H572" s="94">
        <f>H573+H575</f>
        <v>6800000</v>
      </c>
      <c r="I572" s="94">
        <f>I573+I575</f>
        <v>4238100</v>
      </c>
      <c r="J572" s="217">
        <f t="shared" si="14"/>
        <v>0.62325</v>
      </c>
    </row>
    <row r="573" spans="1:10" ht="15.75" customHeight="1">
      <c r="A573" s="218"/>
      <c r="B573" s="72" t="s">
        <v>309</v>
      </c>
      <c r="C573" s="72"/>
      <c r="D573" s="72" t="s">
        <v>310</v>
      </c>
      <c r="E573" s="72"/>
      <c r="F573" s="75"/>
      <c r="G573" s="94">
        <f>SUM(G574)</f>
        <v>6500000</v>
      </c>
      <c r="H573" s="94">
        <f>SUM(H574)</f>
        <v>6500000</v>
      </c>
      <c r="I573" s="94">
        <f>SUM(I574)</f>
        <v>4213100</v>
      </c>
      <c r="J573" s="217">
        <f t="shared" si="14"/>
        <v>0.6481692307692307</v>
      </c>
    </row>
    <row r="574" spans="1:10" ht="15.75" customHeight="1">
      <c r="A574" s="218"/>
      <c r="B574" s="72"/>
      <c r="C574" s="72"/>
      <c r="D574" s="72"/>
      <c r="E574" s="72" t="s">
        <v>311</v>
      </c>
      <c r="F574" s="75"/>
      <c r="G574" s="94">
        <v>6500000</v>
      </c>
      <c r="H574" s="94">
        <v>6500000</v>
      </c>
      <c r="I574" s="94">
        <v>4213100</v>
      </c>
      <c r="J574" s="217">
        <f t="shared" si="14"/>
        <v>0.6481692307692307</v>
      </c>
    </row>
    <row r="575" spans="1:10" ht="15.75" customHeight="1">
      <c r="A575" s="216" t="s">
        <v>31</v>
      </c>
      <c r="B575" s="72"/>
      <c r="C575" s="72" t="s">
        <v>32</v>
      </c>
      <c r="D575" s="72"/>
      <c r="E575" s="72"/>
      <c r="F575" s="75"/>
      <c r="G575" s="94">
        <f aca="true" t="shared" si="19" ref="G575:I576">G576</f>
        <v>300000</v>
      </c>
      <c r="H575" s="94">
        <f t="shared" si="19"/>
        <v>300000</v>
      </c>
      <c r="I575" s="94">
        <f t="shared" si="19"/>
        <v>25000</v>
      </c>
      <c r="J575" s="217">
        <f t="shared" si="14"/>
        <v>0.08333333333333333</v>
      </c>
    </row>
    <row r="576" spans="1:10" ht="15.75" customHeight="1">
      <c r="A576" s="218"/>
      <c r="B576" s="75"/>
      <c r="C576" s="75" t="s">
        <v>227</v>
      </c>
      <c r="D576" s="75" t="s">
        <v>228</v>
      </c>
      <c r="E576" s="75"/>
      <c r="F576" s="75"/>
      <c r="G576" s="92">
        <f t="shared" si="19"/>
        <v>300000</v>
      </c>
      <c r="H576" s="92">
        <f t="shared" si="19"/>
        <v>300000</v>
      </c>
      <c r="I576" s="92">
        <f t="shared" si="19"/>
        <v>25000</v>
      </c>
      <c r="J576" s="217">
        <f t="shared" si="14"/>
        <v>0.08333333333333333</v>
      </c>
    </row>
    <row r="577" spans="1:10" ht="15.75" customHeight="1">
      <c r="A577" s="218"/>
      <c r="B577" s="75"/>
      <c r="C577" s="75"/>
      <c r="D577" s="75"/>
      <c r="E577" s="75" t="s">
        <v>362</v>
      </c>
      <c r="F577" s="75"/>
      <c r="G577" s="92">
        <v>300000</v>
      </c>
      <c r="H577" s="92">
        <v>300000</v>
      </c>
      <c r="I577" s="92">
        <v>25000</v>
      </c>
      <c r="J577" s="217">
        <f t="shared" si="14"/>
        <v>0.08333333333333333</v>
      </c>
    </row>
    <row r="578" spans="1:10" ht="15.75" customHeight="1">
      <c r="A578" s="218"/>
      <c r="B578" s="75"/>
      <c r="C578" s="75"/>
      <c r="D578" s="75"/>
      <c r="E578" s="75"/>
      <c r="F578" s="75"/>
      <c r="G578" s="92"/>
      <c r="H578" s="65"/>
      <c r="I578" s="127"/>
      <c r="J578" s="217"/>
    </row>
    <row r="579" spans="1:10" ht="15.75" customHeight="1">
      <c r="A579" s="226"/>
      <c r="B579" s="86"/>
      <c r="C579" s="88" t="s">
        <v>312</v>
      </c>
      <c r="D579" s="88"/>
      <c r="E579" s="88"/>
      <c r="F579" s="98">
        <f>F10+F87+F175+F228+F247+F336+F387+F434+F503</f>
        <v>26</v>
      </c>
      <c r="G579" s="91">
        <f>G9+G87+G108+G133+G149+G175+G210+G219+G228+G247+G289+G316+G320+G336+G370+G383+G387+G426+G434+G503+G559+G564+G66+G545+G129+G72+G124+G77+G486+G467+G164</f>
        <v>568429161</v>
      </c>
      <c r="H579" s="91">
        <f>H9+H87+H108+H133+H149+H175+H210+H219+H228+H247+H289+H316+H320+H336+H370+H383+H387+H426+H434+H503+H559+H564+H66+H545+H129+H72+H124+H77+H486+H467+H164+H538+H214</f>
        <v>693545873</v>
      </c>
      <c r="I579" s="91">
        <f>I9+I87+I108+I133+I149+I175+I210+I219+I228+I247+I289+I316+I320+I336+I370+I383+I387+I426+I434+I503+I559+I564+I66+I545+I129+I72+I124+I77+I486+I467+I164+I538+I214</f>
        <v>469594406</v>
      </c>
      <c r="J579" s="192">
        <f t="shared" si="14"/>
        <v>0.6770920630941452</v>
      </c>
    </row>
    <row r="580" spans="1:10" ht="15.75" customHeight="1">
      <c r="A580" s="218"/>
      <c r="B580" s="75"/>
      <c r="C580" s="72"/>
      <c r="D580" s="72"/>
      <c r="E580" s="72"/>
      <c r="F580" s="115"/>
      <c r="G580" s="94"/>
      <c r="H580" s="65"/>
      <c r="I580" s="65"/>
      <c r="J580" s="217"/>
    </row>
    <row r="581" spans="1:10" ht="15.75" customHeight="1">
      <c r="A581" s="216" t="s">
        <v>23</v>
      </c>
      <c r="B581" s="72"/>
      <c r="C581" s="72" t="s">
        <v>169</v>
      </c>
      <c r="D581" s="72"/>
      <c r="E581" s="72"/>
      <c r="F581" s="75"/>
      <c r="G581" s="92">
        <f>G10+G88+G134+G176+G229+G248+G337+G388+G435+G504+G487+G468</f>
        <v>95337404</v>
      </c>
      <c r="H581" s="92">
        <f>H10+H88+H134+H176+H229+H248+H337+H388+H435+H504+H487+H468+H290</f>
        <v>100347538</v>
      </c>
      <c r="I581" s="92">
        <f>I10+I88+I134+I176+I229+I248+I337+I388+I435+I504+I487+I468+I290</f>
        <v>94323829</v>
      </c>
      <c r="J581" s="217">
        <f t="shared" si="14"/>
        <v>0.9399715317380283</v>
      </c>
    </row>
    <row r="582" spans="1:10" ht="15.75" customHeight="1">
      <c r="A582" s="216" t="s">
        <v>25</v>
      </c>
      <c r="B582" s="72"/>
      <c r="C582" s="72" t="s">
        <v>186</v>
      </c>
      <c r="D582" s="79"/>
      <c r="E582" s="79"/>
      <c r="F582" s="75"/>
      <c r="G582" s="92">
        <f>G24+G93+G140+G186+G234+G259+G347+G399+G442+G512+G492+G474</f>
        <v>20079658</v>
      </c>
      <c r="H582" s="92">
        <f>H24+H93+H140+H186+H234+H259+H347+H399+H442+H512+H492+H474+H293</f>
        <v>20332747</v>
      </c>
      <c r="I582" s="92">
        <f>I24+I93+I140+I186+I234+I259+I347+I399+I442+I512+I492+I474+I293</f>
        <v>17849626</v>
      </c>
      <c r="J582" s="217">
        <f t="shared" si="14"/>
        <v>0.8778757734997638</v>
      </c>
    </row>
    <row r="583" spans="1:10" ht="15.75" customHeight="1">
      <c r="A583" s="216" t="s">
        <v>27</v>
      </c>
      <c r="B583" s="72"/>
      <c r="C583" s="72" t="s">
        <v>28</v>
      </c>
      <c r="D583" s="72"/>
      <c r="E583" s="72"/>
      <c r="F583" s="75"/>
      <c r="G583" s="92">
        <f>G27+G96+G109+G150+G189+G220+G237+G262+G295+G321+G350+G371+G402+G427+G445+G515+G546+G143+G165</f>
        <v>184527920</v>
      </c>
      <c r="H583" s="92">
        <f>H27+H96+H109+H150+H189+H220+H237+H262+H295+H321+H350+H371+H402+H427+H445+H515+H546+H143+H165+H477+H495+H67+H539+H565</f>
        <v>216724963</v>
      </c>
      <c r="I583" s="92">
        <f>I27+I96+I109+I150+I189+I220+I237+I262+I295+I321+I350+I371+I402+I427+I445+I515+I546+I143+I165+I477+I495+I67+I539+I565</f>
        <v>150764875</v>
      </c>
      <c r="J583" s="217">
        <f t="shared" si="14"/>
        <v>0.6956507128345893</v>
      </c>
    </row>
    <row r="584" spans="1:10" ht="15.75" customHeight="1">
      <c r="A584" s="216" t="s">
        <v>29</v>
      </c>
      <c r="B584" s="75"/>
      <c r="C584" s="72" t="s">
        <v>305</v>
      </c>
      <c r="D584" s="72"/>
      <c r="E584" s="72"/>
      <c r="F584" s="75"/>
      <c r="G584" s="92">
        <f>G573</f>
        <v>6500000</v>
      </c>
      <c r="H584" s="92">
        <f>H573</f>
        <v>6500000</v>
      </c>
      <c r="I584" s="92">
        <f>I573</f>
        <v>4213100</v>
      </c>
      <c r="J584" s="217">
        <f t="shared" si="14"/>
        <v>0.6481692307692307</v>
      </c>
    </row>
    <row r="585" spans="1:10" ht="15.75" customHeight="1">
      <c r="A585" s="216" t="s">
        <v>31</v>
      </c>
      <c r="B585" s="72"/>
      <c r="C585" s="72" t="s">
        <v>32</v>
      </c>
      <c r="D585" s="72"/>
      <c r="E585" s="72"/>
      <c r="F585" s="116"/>
      <c r="G585" s="92">
        <f>G49+G310+G317+G333+G384+G560+G555+G125+G78+G69+G575+G130</f>
        <v>123963180</v>
      </c>
      <c r="H585" s="92">
        <f>H49+H310+H317+H333+H384+H560+H555+H125+H78+H69+H575+H130</f>
        <v>225385487</v>
      </c>
      <c r="I585" s="92">
        <f>I49+I310+I317+I333+I384+I560+I555+I125+I78+I69+I575+I130</f>
        <v>91606903</v>
      </c>
      <c r="J585" s="217">
        <f t="shared" si="14"/>
        <v>0.40644543807738603</v>
      </c>
    </row>
    <row r="586" spans="1:10" ht="15.75" customHeight="1">
      <c r="A586" s="216" t="s">
        <v>34</v>
      </c>
      <c r="B586" s="72"/>
      <c r="C586" s="346" t="s">
        <v>35</v>
      </c>
      <c r="D586" s="346"/>
      <c r="E586" s="346"/>
      <c r="F586" s="75"/>
      <c r="G586" s="92">
        <f>G281+G116+G58+G534+G418</f>
        <v>60148000</v>
      </c>
      <c r="H586" s="92">
        <f>H281+H116+H58+H534+H418+H483+H215+H366+H463</f>
        <v>54347348</v>
      </c>
      <c r="I586" s="92">
        <f>I281+I116+I58+I534+I418+I483+I215+I366+I463</f>
        <v>49315836</v>
      </c>
      <c r="J586" s="217">
        <f t="shared" si="14"/>
        <v>0.9074193647866682</v>
      </c>
    </row>
    <row r="587" spans="1:10" ht="15.75" customHeight="1">
      <c r="A587" s="216" t="s">
        <v>36</v>
      </c>
      <c r="B587" s="72"/>
      <c r="C587" s="346" t="s">
        <v>313</v>
      </c>
      <c r="D587" s="346"/>
      <c r="E587" s="346"/>
      <c r="F587" s="75"/>
      <c r="G587" s="92">
        <f>G285+G422+G160+G312+G120</f>
        <v>68500000</v>
      </c>
      <c r="H587" s="92">
        <f>H285+H422+H160+H312+H120</f>
        <v>62079971</v>
      </c>
      <c r="I587" s="92">
        <f>I285+I422+I160+I312+I120</f>
        <v>55757418</v>
      </c>
      <c r="J587" s="217">
        <f t="shared" si="14"/>
        <v>0.8981547043570622</v>
      </c>
    </row>
    <row r="588" spans="1:10" ht="15.75" customHeight="1">
      <c r="A588" s="216" t="s">
        <v>38</v>
      </c>
      <c r="B588" s="72"/>
      <c r="C588" s="72" t="s">
        <v>39</v>
      </c>
      <c r="D588" s="72"/>
      <c r="E588" s="72"/>
      <c r="F588" s="116"/>
      <c r="G588" s="92">
        <f>G211+G62</f>
        <v>2065000</v>
      </c>
      <c r="H588" s="92">
        <f>H211+H62</f>
        <v>2065000</v>
      </c>
      <c r="I588" s="92">
        <f>I211+I62</f>
        <v>0</v>
      </c>
      <c r="J588" s="217">
        <f t="shared" si="14"/>
        <v>0</v>
      </c>
    </row>
    <row r="589" spans="1:10" ht="15.75" customHeight="1">
      <c r="A589" s="216" t="s">
        <v>41</v>
      </c>
      <c r="B589" s="72"/>
      <c r="C589" s="72" t="s">
        <v>40</v>
      </c>
      <c r="D589" s="72"/>
      <c r="E589" s="72"/>
      <c r="F589" s="75"/>
      <c r="G589" s="92">
        <f>G73</f>
        <v>7307999</v>
      </c>
      <c r="H589" s="92">
        <f>H73</f>
        <v>5762819</v>
      </c>
      <c r="I589" s="92">
        <f>I73</f>
        <v>5762819</v>
      </c>
      <c r="J589" s="217">
        <f>I589/H589</f>
        <v>1</v>
      </c>
    </row>
    <row r="590" spans="1:10" ht="15.75" customHeight="1" thickBot="1">
      <c r="A590" s="227"/>
      <c r="B590" s="228"/>
      <c r="C590" s="228" t="s">
        <v>312</v>
      </c>
      <c r="D590" s="228"/>
      <c r="E590" s="228"/>
      <c r="F590" s="228"/>
      <c r="G590" s="229">
        <f>SUM(G581:G589)</f>
        <v>568429161</v>
      </c>
      <c r="H590" s="229">
        <f>SUM(H581:H589)</f>
        <v>693545873</v>
      </c>
      <c r="I590" s="229">
        <f>SUM(I581:I589)</f>
        <v>469594406</v>
      </c>
      <c r="J590" s="230">
        <f>I590/H590</f>
        <v>0.6770920630941452</v>
      </c>
    </row>
  </sheetData>
  <sheetProtection selectLockedCells="1" selectUnlockedCells="1"/>
  <mergeCells count="20">
    <mergeCell ref="A1:J1"/>
    <mergeCell ref="A3:J3"/>
    <mergeCell ref="A4:J4"/>
    <mergeCell ref="A5:J5"/>
    <mergeCell ref="D142:E142"/>
    <mergeCell ref="G7:G8"/>
    <mergeCell ref="I7:I8"/>
    <mergeCell ref="J7:J8"/>
    <mergeCell ref="D85:E85"/>
    <mergeCell ref="A2:G2"/>
    <mergeCell ref="C586:E586"/>
    <mergeCell ref="C587:E587"/>
    <mergeCell ref="D83:E83"/>
    <mergeCell ref="H7:H8"/>
    <mergeCell ref="A6:H6"/>
    <mergeCell ref="A7:E8"/>
    <mergeCell ref="F7:F8"/>
    <mergeCell ref="D48:E48"/>
    <mergeCell ref="D15:E15"/>
    <mergeCell ref="D117:E117"/>
  </mergeCells>
  <printOptions headings="1"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2" r:id="rId1"/>
  <headerFooter alignWithMargins="0">
    <oddFooter>&amp;C&amp;P. oldal, összesen: &amp;N</oddFooter>
  </headerFooter>
  <rowBreaks count="7" manualBreakCount="7">
    <brk id="76" max="9" man="1"/>
    <brk id="148" max="9" man="1"/>
    <brk id="218" max="9" man="1"/>
    <brk id="288" max="9" man="1"/>
    <brk id="369" max="9" man="1"/>
    <brk id="425" max="9" man="1"/>
    <brk id="48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60" zoomScalePageLayoutView="0" workbookViewId="0" topLeftCell="A1">
      <selection activeCell="C7" sqref="C7:C10"/>
    </sheetView>
  </sheetViews>
  <sheetFormatPr defaultColWidth="11.57421875" defaultRowHeight="12.75"/>
  <cols>
    <col min="1" max="1" width="42.7109375" style="0" customWidth="1"/>
    <col min="2" max="3" width="13.28125" style="0" customWidth="1"/>
    <col min="4" max="4" width="9.140625" style="0" customWidth="1"/>
    <col min="5" max="5" width="14.00390625" style="0" bestFit="1" customWidth="1"/>
    <col min="6" max="252" width="9.140625" style="0" customWidth="1"/>
  </cols>
  <sheetData>
    <row r="1" spans="1:5" ht="15.75">
      <c r="A1" s="338" t="s">
        <v>444</v>
      </c>
      <c r="B1" s="338"/>
      <c r="C1" s="338"/>
      <c r="D1" s="338"/>
      <c r="E1" s="338"/>
    </row>
    <row r="2" spans="1:5" ht="15.75">
      <c r="A2" s="287"/>
      <c r="B2" s="287"/>
      <c r="C2" s="287"/>
      <c r="D2" s="287"/>
      <c r="E2" s="287"/>
    </row>
    <row r="3" spans="1:5" ht="15.75">
      <c r="A3" s="310" t="s">
        <v>0</v>
      </c>
      <c r="B3" s="310"/>
      <c r="C3" s="310"/>
      <c r="D3" s="310"/>
      <c r="E3" s="310"/>
    </row>
    <row r="4" spans="1:5" ht="15.75">
      <c r="A4" s="310" t="s">
        <v>661</v>
      </c>
      <c r="B4" s="310"/>
      <c r="C4" s="310"/>
      <c r="D4" s="310"/>
      <c r="E4" s="310"/>
    </row>
    <row r="5" spans="1:5" ht="15.75">
      <c r="A5" s="310" t="s">
        <v>149</v>
      </c>
      <c r="B5" s="310"/>
      <c r="C5" s="310"/>
      <c r="D5" s="310"/>
      <c r="E5" s="310"/>
    </row>
    <row r="6" spans="1:5" ht="15.75">
      <c r="A6" s="34"/>
      <c r="B6" s="359" t="s">
        <v>165</v>
      </c>
      <c r="C6" s="359"/>
      <c r="D6" s="359"/>
      <c r="E6" s="359"/>
    </row>
    <row r="7" spans="1:5" ht="12.75" customHeight="1">
      <c r="A7" s="358" t="s">
        <v>151</v>
      </c>
      <c r="B7" s="342" t="s">
        <v>152</v>
      </c>
      <c r="C7" s="342" t="s">
        <v>153</v>
      </c>
      <c r="D7" s="342" t="s">
        <v>314</v>
      </c>
      <c r="E7" s="342" t="s">
        <v>155</v>
      </c>
    </row>
    <row r="8" spans="1:5" ht="12.75" customHeight="1">
      <c r="A8" s="358"/>
      <c r="B8" s="342"/>
      <c r="C8" s="342"/>
      <c r="D8" s="342"/>
      <c r="E8" s="342"/>
    </row>
    <row r="9" spans="1:5" ht="12.75" customHeight="1">
      <c r="A9" s="358"/>
      <c r="B9" s="342"/>
      <c r="C9" s="342"/>
      <c r="D9" s="342"/>
      <c r="E9" s="342"/>
    </row>
    <row r="10" spans="1:5" ht="15" customHeight="1">
      <c r="A10" s="358"/>
      <c r="B10" s="342"/>
      <c r="C10" s="342"/>
      <c r="D10" s="342"/>
      <c r="E10" s="342"/>
    </row>
    <row r="11" spans="1:5" ht="15.75">
      <c r="A11" s="42" t="s">
        <v>315</v>
      </c>
      <c r="B11" s="32">
        <f>'5.kiadás'!I9</f>
        <v>38432137</v>
      </c>
      <c r="C11" s="43"/>
      <c r="D11" s="32"/>
      <c r="E11" s="32">
        <f aca="true" t="shared" si="0" ref="E11:E46">SUM(B11:D11)</f>
        <v>38432137</v>
      </c>
    </row>
    <row r="12" spans="1:5" ht="15.75">
      <c r="A12" s="42" t="s">
        <v>316</v>
      </c>
      <c r="B12" s="32">
        <f>'5.kiadás'!I66</f>
        <v>3198611</v>
      </c>
      <c r="C12" s="43"/>
      <c r="D12" s="32"/>
      <c r="E12" s="32">
        <f t="shared" si="0"/>
        <v>3198611</v>
      </c>
    </row>
    <row r="13" spans="1:5" ht="15.75">
      <c r="A13" s="44" t="s">
        <v>244</v>
      </c>
      <c r="B13" s="28">
        <f>'5.kiadás'!I72</f>
        <v>5762819</v>
      </c>
      <c r="C13" s="43"/>
      <c r="D13" s="32"/>
      <c r="E13" s="32">
        <f t="shared" si="0"/>
        <v>5762819</v>
      </c>
    </row>
    <row r="14" spans="1:5" ht="15.75">
      <c r="A14" s="44" t="s">
        <v>317</v>
      </c>
      <c r="B14" s="28">
        <f>'5.kiadás'!I77</f>
        <v>74270635</v>
      </c>
      <c r="C14" s="43"/>
      <c r="D14" s="32"/>
      <c r="E14" s="32">
        <f t="shared" si="0"/>
        <v>74270635</v>
      </c>
    </row>
    <row r="15" spans="1:5" ht="15.75">
      <c r="A15" s="45" t="s">
        <v>158</v>
      </c>
      <c r="B15" s="28">
        <f>'5.kiadás'!I87</f>
        <v>2881287</v>
      </c>
      <c r="C15" s="32"/>
      <c r="D15" s="32"/>
      <c r="E15" s="32">
        <f t="shared" si="0"/>
        <v>2881287</v>
      </c>
    </row>
    <row r="16" spans="1:5" ht="15.75">
      <c r="A16" s="42" t="s">
        <v>318</v>
      </c>
      <c r="B16" s="28">
        <f>'5.kiadás'!I108</f>
        <v>30839698</v>
      </c>
      <c r="C16" s="32"/>
      <c r="D16" s="32"/>
      <c r="E16" s="32">
        <f t="shared" si="0"/>
        <v>30839698</v>
      </c>
    </row>
    <row r="17" spans="1:5" ht="15.75">
      <c r="A17" s="42" t="s">
        <v>319</v>
      </c>
      <c r="B17" s="28"/>
      <c r="C17" s="32">
        <f>'5.kiadás'!I124</f>
        <v>500000</v>
      </c>
      <c r="D17" s="32"/>
      <c r="E17" s="32">
        <f t="shared" si="0"/>
        <v>500000</v>
      </c>
    </row>
    <row r="18" spans="1:5" ht="15.75">
      <c r="A18" s="42" t="s">
        <v>320</v>
      </c>
      <c r="B18" s="28"/>
      <c r="C18" s="32">
        <f>'5.kiadás'!I129</f>
        <v>100000</v>
      </c>
      <c r="D18" s="32"/>
      <c r="E18" s="32">
        <f t="shared" si="0"/>
        <v>100000</v>
      </c>
    </row>
    <row r="19" spans="1:5" ht="15.75">
      <c r="A19" s="45" t="s">
        <v>117</v>
      </c>
      <c r="B19" s="28">
        <f>'5.kiadás'!I133</f>
        <v>2964522</v>
      </c>
      <c r="C19" s="32"/>
      <c r="D19" s="32"/>
      <c r="E19" s="32">
        <f t="shared" si="0"/>
        <v>2964522</v>
      </c>
    </row>
    <row r="20" spans="1:5" ht="15.75">
      <c r="A20" s="42" t="s">
        <v>270</v>
      </c>
      <c r="B20" s="28">
        <f>'5.kiadás'!I149</f>
        <v>11969251</v>
      </c>
      <c r="C20" s="32"/>
      <c r="D20" s="32"/>
      <c r="E20" s="32">
        <f t="shared" si="0"/>
        <v>11969251</v>
      </c>
    </row>
    <row r="21" spans="1:5" ht="15.75">
      <c r="A21" s="42" t="s">
        <v>387</v>
      </c>
      <c r="B21" s="28"/>
      <c r="C21" s="32">
        <f>'5.kiadás'!I164</f>
        <v>1001696</v>
      </c>
      <c r="D21" s="32"/>
      <c r="E21" s="32"/>
    </row>
    <row r="22" spans="1:5" ht="15.75">
      <c r="A22" s="42" t="s">
        <v>118</v>
      </c>
      <c r="B22" s="43"/>
      <c r="C22" s="32">
        <f>'5.kiadás'!I175</f>
        <v>6705929</v>
      </c>
      <c r="D22" s="32"/>
      <c r="E22" s="32">
        <f t="shared" si="0"/>
        <v>6705929</v>
      </c>
    </row>
    <row r="23" spans="1:5" ht="15.75">
      <c r="A23" s="45" t="s">
        <v>321</v>
      </c>
      <c r="B23" s="28"/>
      <c r="C23" s="32">
        <f>'5.kiadás'!I210</f>
        <v>0</v>
      </c>
      <c r="D23" s="32"/>
      <c r="E23" s="32">
        <f t="shared" si="0"/>
        <v>0</v>
      </c>
    </row>
    <row r="24" spans="1:5" ht="15.75">
      <c r="A24" s="45" t="s">
        <v>425</v>
      </c>
      <c r="B24" s="28"/>
      <c r="C24" s="32">
        <f>'5.kiadás'!I214</f>
        <v>2979790</v>
      </c>
      <c r="D24" s="32"/>
      <c r="E24" s="32">
        <f t="shared" si="0"/>
        <v>2979790</v>
      </c>
    </row>
    <row r="25" spans="1:5" ht="15.75">
      <c r="A25" s="45" t="s">
        <v>284</v>
      </c>
      <c r="B25" s="28">
        <f>'5.kiadás'!I219</f>
        <v>12081803</v>
      </c>
      <c r="C25" s="32"/>
      <c r="D25" s="32"/>
      <c r="E25" s="32">
        <f t="shared" si="0"/>
        <v>12081803</v>
      </c>
    </row>
    <row r="26" spans="1:5" ht="15.75">
      <c r="A26" s="45" t="s">
        <v>285</v>
      </c>
      <c r="B26" s="28">
        <f>'5.kiadás'!I228</f>
        <v>5671130</v>
      </c>
      <c r="C26" s="32"/>
      <c r="D26" s="32"/>
      <c r="E26" s="32">
        <f t="shared" si="0"/>
        <v>5671130</v>
      </c>
    </row>
    <row r="27" spans="1:5" ht="15.75">
      <c r="A27" s="42" t="s">
        <v>121</v>
      </c>
      <c r="B27" s="28">
        <f>'5.kiadás'!I247</f>
        <v>124380538</v>
      </c>
      <c r="C27" s="32"/>
      <c r="D27" s="32"/>
      <c r="E27" s="32">
        <f t="shared" si="0"/>
        <v>124380538</v>
      </c>
    </row>
    <row r="28" spans="1:5" ht="15.75">
      <c r="A28" s="45" t="s">
        <v>292</v>
      </c>
      <c r="B28" s="28">
        <f>'5.kiadás'!I289</f>
        <v>19942648</v>
      </c>
      <c r="C28" s="32"/>
      <c r="D28" s="32"/>
      <c r="E28" s="32">
        <f t="shared" si="0"/>
        <v>19942648</v>
      </c>
    </row>
    <row r="29" spans="1:5" ht="15.75">
      <c r="A29" s="45" t="s">
        <v>293</v>
      </c>
      <c r="B29" s="28">
        <f>'5.kiadás'!H316</f>
        <v>0</v>
      </c>
      <c r="C29" s="32"/>
      <c r="D29" s="32"/>
      <c r="E29" s="32">
        <f t="shared" si="0"/>
        <v>0</v>
      </c>
    </row>
    <row r="30" spans="1:5" ht="15.75">
      <c r="A30" s="45" t="s">
        <v>122</v>
      </c>
      <c r="B30" s="28">
        <f>'5.kiadás'!I320</f>
        <v>2866929</v>
      </c>
      <c r="C30" s="32"/>
      <c r="D30" s="32"/>
      <c r="E30" s="32">
        <f t="shared" si="0"/>
        <v>2866929</v>
      </c>
    </row>
    <row r="31" spans="1:5" ht="15.75">
      <c r="A31" s="45" t="s">
        <v>123</v>
      </c>
      <c r="B31" s="28">
        <f>'5.kiadás'!I336</f>
        <v>6923851</v>
      </c>
      <c r="C31" s="32"/>
      <c r="D31" s="32"/>
      <c r="E31" s="32">
        <f t="shared" si="0"/>
        <v>6923851</v>
      </c>
    </row>
    <row r="32" spans="1:5" ht="15.75">
      <c r="A32" s="45" t="s">
        <v>322</v>
      </c>
      <c r="B32" s="43"/>
      <c r="C32" s="32">
        <f>'5.kiadás'!I370</f>
        <v>509952</v>
      </c>
      <c r="D32" s="32"/>
      <c r="E32" s="32">
        <f t="shared" si="0"/>
        <v>509952</v>
      </c>
    </row>
    <row r="33" spans="1:5" ht="24.75">
      <c r="A33" s="170" t="s">
        <v>323</v>
      </c>
      <c r="B33" s="43"/>
      <c r="C33" s="32">
        <f>'5.kiadás'!I383</f>
        <v>2000000</v>
      </c>
      <c r="D33" s="32"/>
      <c r="E33" s="32">
        <f t="shared" si="0"/>
        <v>2000000</v>
      </c>
    </row>
    <row r="34" spans="1:5" ht="15.75">
      <c r="A34" s="45" t="s">
        <v>124</v>
      </c>
      <c r="B34" s="43"/>
      <c r="C34" s="32">
        <f>'5.kiadás'!I387</f>
        <v>70066562</v>
      </c>
      <c r="D34" s="32"/>
      <c r="E34" s="32">
        <f t="shared" si="0"/>
        <v>70066562</v>
      </c>
    </row>
    <row r="35" spans="1:5" ht="15.75">
      <c r="A35" s="45" t="s">
        <v>300</v>
      </c>
      <c r="B35" s="43"/>
      <c r="C35" s="32">
        <f>'5.kiadás'!I426</f>
        <v>574625</v>
      </c>
      <c r="D35" s="32"/>
      <c r="E35" s="32">
        <f t="shared" si="0"/>
        <v>574625</v>
      </c>
    </row>
    <row r="36" spans="1:5" ht="15.75">
      <c r="A36" s="45" t="s">
        <v>126</v>
      </c>
      <c r="B36" s="43"/>
      <c r="C36" s="32">
        <f>'5.kiadás'!I434</f>
        <v>5345897</v>
      </c>
      <c r="D36" s="32"/>
      <c r="E36" s="32">
        <f t="shared" si="0"/>
        <v>5345897</v>
      </c>
    </row>
    <row r="37" spans="1:5" ht="15.75">
      <c r="A37" s="45" t="s">
        <v>360</v>
      </c>
      <c r="B37" s="43"/>
      <c r="C37" s="32">
        <f>'5.kiadás'!I467</f>
        <v>2517003</v>
      </c>
      <c r="D37" s="32"/>
      <c r="E37" s="32"/>
    </row>
    <row r="38" spans="1:5" ht="15.75">
      <c r="A38" s="45" t="s">
        <v>361</v>
      </c>
      <c r="B38" s="43"/>
      <c r="C38" s="32">
        <f>'5.kiadás'!I486</f>
        <v>576713</v>
      </c>
      <c r="D38" s="32"/>
      <c r="E38" s="32"/>
    </row>
    <row r="39" spans="1:5" ht="15.75">
      <c r="A39" s="45" t="s">
        <v>164</v>
      </c>
      <c r="B39" s="43"/>
      <c r="C39" s="32">
        <f>'5.kiadás'!I503</f>
        <v>21582732</v>
      </c>
      <c r="D39" s="32"/>
      <c r="E39" s="32">
        <f t="shared" si="0"/>
        <v>21582732</v>
      </c>
    </row>
    <row r="40" spans="1:5" ht="15.75">
      <c r="A40" s="45" t="s">
        <v>428</v>
      </c>
      <c r="B40" s="43"/>
      <c r="C40" s="32">
        <f>'5.kiadás'!I538</f>
        <v>618500</v>
      </c>
      <c r="D40" s="32"/>
      <c r="E40" s="32">
        <f t="shared" si="0"/>
        <v>618500</v>
      </c>
    </row>
    <row r="41" spans="1:5" ht="15.75">
      <c r="A41" s="45" t="s">
        <v>324</v>
      </c>
      <c r="B41" s="43"/>
      <c r="C41" s="32">
        <f>'5.kiadás'!I545</f>
        <v>4802116</v>
      </c>
      <c r="D41" s="32"/>
      <c r="E41" s="32">
        <f t="shared" si="0"/>
        <v>4802116</v>
      </c>
    </row>
    <row r="42" spans="1:5" ht="24.75">
      <c r="A42" s="171" t="s">
        <v>325</v>
      </c>
      <c r="B42" s="28"/>
      <c r="C42" s="32">
        <v>0</v>
      </c>
      <c r="D42" s="32"/>
      <c r="E42" s="32">
        <f t="shared" si="0"/>
        <v>0</v>
      </c>
    </row>
    <row r="43" spans="1:5" ht="15.75">
      <c r="A43" s="45" t="s">
        <v>326</v>
      </c>
      <c r="B43" s="28">
        <v>0</v>
      </c>
      <c r="C43" s="32"/>
      <c r="D43" s="32"/>
      <c r="E43" s="32">
        <f t="shared" si="0"/>
        <v>0</v>
      </c>
    </row>
    <row r="44" spans="1:5" ht="15.75">
      <c r="A44" s="45" t="s">
        <v>327</v>
      </c>
      <c r="B44" s="28"/>
      <c r="C44" s="32">
        <v>0</v>
      </c>
      <c r="D44" s="32"/>
      <c r="E44" s="32">
        <f t="shared" si="0"/>
        <v>0</v>
      </c>
    </row>
    <row r="45" spans="1:5" ht="15.75">
      <c r="A45" s="45" t="s">
        <v>306</v>
      </c>
      <c r="B45" s="28"/>
      <c r="C45" s="32">
        <f>'5.kiadás'!H559</f>
        <v>0</v>
      </c>
      <c r="D45" s="32"/>
      <c r="E45" s="32">
        <f t="shared" si="0"/>
        <v>0</v>
      </c>
    </row>
    <row r="46" spans="1:5" ht="15.75">
      <c r="A46" s="42" t="s">
        <v>308</v>
      </c>
      <c r="B46" s="28">
        <f>'5.kiadás'!I564</f>
        <v>7527032</v>
      </c>
      <c r="C46" s="32"/>
      <c r="D46" s="32"/>
      <c r="E46" s="32">
        <f t="shared" si="0"/>
        <v>7527032</v>
      </c>
    </row>
    <row r="47" spans="1:5" ht="15.75">
      <c r="A47" s="37" t="s">
        <v>312</v>
      </c>
      <c r="B47" s="43">
        <f>SUM(B11:B46)</f>
        <v>349712891</v>
      </c>
      <c r="C47" s="43">
        <f>SUM(C11:C46)</f>
        <v>119881515</v>
      </c>
      <c r="D47" s="43">
        <f>SUM(D11:D46)</f>
        <v>0</v>
      </c>
      <c r="E47" s="46">
        <f>SUM(B47:D47)</f>
        <v>469594406</v>
      </c>
    </row>
  </sheetData>
  <sheetProtection selectLockedCells="1" selectUnlockedCells="1"/>
  <mergeCells count="11">
    <mergeCell ref="B6:E6"/>
    <mergeCell ref="A7:A10"/>
    <mergeCell ref="B7:B10"/>
    <mergeCell ref="C7:C10"/>
    <mergeCell ref="D7:D10"/>
    <mergeCell ref="E7:E10"/>
    <mergeCell ref="A1:E1"/>
    <mergeCell ref="A2:E2"/>
    <mergeCell ref="A3:E3"/>
    <mergeCell ref="A4:E4"/>
    <mergeCell ref="A5:E5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zoomScalePageLayoutView="0" workbookViewId="0" topLeftCell="A1">
      <selection activeCell="A5" sqref="A5:E5"/>
    </sheetView>
  </sheetViews>
  <sheetFormatPr defaultColWidth="11.57421875" defaultRowHeight="12.75"/>
  <cols>
    <col min="1" max="1" width="60.421875" style="0" customWidth="1"/>
    <col min="2" max="2" width="16.140625" style="0" customWidth="1"/>
    <col min="3" max="3" width="15.140625" style="0" customWidth="1"/>
    <col min="4" max="4" width="14.421875" style="0" customWidth="1"/>
    <col min="5" max="5" width="9.140625" style="1" customWidth="1"/>
    <col min="6" max="255" width="9.140625" style="0" customWidth="1"/>
  </cols>
  <sheetData>
    <row r="1" spans="1:5" ht="15.75">
      <c r="A1" s="349" t="s">
        <v>456</v>
      </c>
      <c r="B1" s="349"/>
      <c r="C1" s="349"/>
      <c r="D1" s="349"/>
      <c r="E1" s="349"/>
    </row>
    <row r="2" spans="1:2" ht="15.75">
      <c r="A2" s="287"/>
      <c r="B2" s="287"/>
    </row>
    <row r="3" spans="1:5" ht="15.75">
      <c r="A3" s="310" t="s">
        <v>0</v>
      </c>
      <c r="B3" s="310"/>
      <c r="C3" s="310"/>
      <c r="D3" s="310"/>
      <c r="E3" s="310"/>
    </row>
    <row r="4" spans="1:5" ht="15.75">
      <c r="A4" s="339" t="s">
        <v>662</v>
      </c>
      <c r="B4" s="339"/>
      <c r="C4" s="339"/>
      <c r="D4" s="339"/>
      <c r="E4" s="339"/>
    </row>
    <row r="5" spans="1:5" ht="15.75">
      <c r="A5" s="339" t="s">
        <v>43</v>
      </c>
      <c r="B5" s="339"/>
      <c r="C5" s="339"/>
      <c r="D5" s="339"/>
      <c r="E5" s="339"/>
    </row>
    <row r="6" spans="1:4" ht="16.5" thickBot="1">
      <c r="A6" s="349"/>
      <c r="B6" s="349"/>
      <c r="C6" s="349"/>
      <c r="D6" s="26" t="s">
        <v>328</v>
      </c>
    </row>
    <row r="7" spans="1:5" ht="12.75" customHeight="1">
      <c r="A7" s="350" t="s">
        <v>329</v>
      </c>
      <c r="B7" s="306" t="s">
        <v>2</v>
      </c>
      <c r="C7" s="306" t="s">
        <v>393</v>
      </c>
      <c r="D7" s="283" t="s">
        <v>462</v>
      </c>
      <c r="E7" s="285" t="s">
        <v>463</v>
      </c>
    </row>
    <row r="8" spans="1:5" ht="21.75" customHeight="1">
      <c r="A8" s="352"/>
      <c r="B8" s="307"/>
      <c r="C8" s="307"/>
      <c r="D8" s="284"/>
      <c r="E8" s="286"/>
    </row>
    <row r="9" spans="1:5" ht="15.75">
      <c r="A9" s="222" t="s">
        <v>35</v>
      </c>
      <c r="B9" s="65"/>
      <c r="C9" s="154"/>
      <c r="D9" s="154"/>
      <c r="E9" s="209"/>
    </row>
    <row r="10" spans="1:5" ht="15.75">
      <c r="A10" s="219" t="s">
        <v>370</v>
      </c>
      <c r="B10" s="127">
        <v>24409400</v>
      </c>
      <c r="C10" s="127">
        <f>'5.kiadás'!H419</f>
        <v>24409400</v>
      </c>
      <c r="D10" s="127">
        <f>'5.kiadás'!I419</f>
        <v>24251954</v>
      </c>
      <c r="E10" s="184">
        <f>D10/C10</f>
        <v>0.9935497800027858</v>
      </c>
    </row>
    <row r="11" spans="1:5" ht="15.75">
      <c r="A11" s="219" t="s">
        <v>371</v>
      </c>
      <c r="B11" s="127">
        <v>2362200</v>
      </c>
      <c r="C11" s="127">
        <f>'5.kiadás'!H535</f>
        <v>2362200</v>
      </c>
      <c r="D11" s="127">
        <f>'5.kiadás'!I535</f>
        <v>1329125</v>
      </c>
      <c r="E11" s="184">
        <f aca="true" t="shared" si="0" ref="E11:E41">D11/C11</f>
        <v>0.5626640419947506</v>
      </c>
    </row>
    <row r="12" spans="1:5" ht="15.75">
      <c r="A12" s="219" t="s">
        <v>372</v>
      </c>
      <c r="B12" s="127">
        <v>1574800</v>
      </c>
      <c r="C12" s="127">
        <f>'5.kiadás'!H283</f>
        <v>4772958</v>
      </c>
      <c r="D12" s="127">
        <f>'5.kiadás'!I283</f>
        <v>4772958</v>
      </c>
      <c r="E12" s="184">
        <f t="shared" si="0"/>
        <v>1</v>
      </c>
    </row>
    <row r="13" spans="1:5" ht="15.75">
      <c r="A13" s="219" t="s">
        <v>373</v>
      </c>
      <c r="B13" s="127">
        <v>648000</v>
      </c>
      <c r="C13" s="127">
        <v>648000</v>
      </c>
      <c r="D13" s="127">
        <v>648000</v>
      </c>
      <c r="E13" s="184">
        <f t="shared" si="0"/>
        <v>1</v>
      </c>
    </row>
    <row r="14" spans="1:5" ht="15.75">
      <c r="A14" s="219" t="s">
        <v>375</v>
      </c>
      <c r="B14" s="127">
        <v>2362200</v>
      </c>
      <c r="C14" s="127">
        <f>'5.kiadás'!H118</f>
        <v>2362200</v>
      </c>
      <c r="D14" s="127">
        <f>'5.kiadás'!I118</f>
        <v>0</v>
      </c>
      <c r="E14" s="184">
        <f t="shared" si="0"/>
        <v>0</v>
      </c>
    </row>
    <row r="15" spans="1:5" ht="15.75">
      <c r="A15" s="219" t="s">
        <v>376</v>
      </c>
      <c r="B15" s="127">
        <v>393700</v>
      </c>
      <c r="C15" s="127">
        <f>'5.kiadás'!H59</f>
        <v>393700</v>
      </c>
      <c r="D15" s="127">
        <f>'5.kiadás'!I59</f>
        <v>0</v>
      </c>
      <c r="E15" s="184">
        <f t="shared" si="0"/>
        <v>0</v>
      </c>
    </row>
    <row r="16" spans="1:5" ht="15.75">
      <c r="A16" s="219" t="s">
        <v>392</v>
      </c>
      <c r="B16" s="127">
        <v>15748000</v>
      </c>
      <c r="C16" s="127">
        <f>'5.kiadás'!H282+'5.kiadás'!H117</f>
        <v>12152000</v>
      </c>
      <c r="D16" s="127">
        <f>'5.kiadás'!I282+'5.kiadás'!I117</f>
        <v>12132517</v>
      </c>
      <c r="E16" s="184">
        <f t="shared" si="0"/>
        <v>0.9983967248189598</v>
      </c>
    </row>
    <row r="17" spans="1:5" ht="15.75">
      <c r="A17" s="219" t="s">
        <v>410</v>
      </c>
      <c r="B17" s="127"/>
      <c r="C17" s="127">
        <f>'5.kiadás'!H484</f>
        <v>97601</v>
      </c>
      <c r="D17" s="127">
        <f>'5.kiadás'!I484</f>
        <v>97601</v>
      </c>
      <c r="E17" s="184">
        <f t="shared" si="0"/>
        <v>1</v>
      </c>
    </row>
    <row r="18" spans="1:5" ht="15.75">
      <c r="A18" s="219" t="s">
        <v>437</v>
      </c>
      <c r="B18" s="127">
        <v>0</v>
      </c>
      <c r="C18" s="127">
        <f>'5.kiadás'!H216</f>
        <v>2346292</v>
      </c>
      <c r="D18" s="127">
        <f>'5.kiadás'!I216</f>
        <v>2346292</v>
      </c>
      <c r="E18" s="184">
        <f t="shared" si="0"/>
        <v>1</v>
      </c>
    </row>
    <row r="19" spans="1:5" ht="15.75">
      <c r="A19" s="219" t="s">
        <v>438</v>
      </c>
      <c r="B19" s="127">
        <v>0</v>
      </c>
      <c r="C19" s="127">
        <f>'5.kiadás'!H420</f>
        <v>660000</v>
      </c>
      <c r="D19" s="127">
        <f>'5.kiadás'!I420</f>
        <v>660000</v>
      </c>
      <c r="E19" s="184">
        <f t="shared" si="0"/>
        <v>1</v>
      </c>
    </row>
    <row r="20" spans="1:5" ht="15.75">
      <c r="A20" s="219" t="s">
        <v>458</v>
      </c>
      <c r="B20" s="127"/>
      <c r="C20" s="127">
        <f>'5.kiadás'!H464</f>
        <v>88452</v>
      </c>
      <c r="D20" s="127">
        <f>'5.kiadás'!I464</f>
        <v>88452</v>
      </c>
      <c r="E20" s="184">
        <f t="shared" si="0"/>
        <v>1</v>
      </c>
    </row>
    <row r="21" spans="1:5" ht="15.75">
      <c r="A21" s="219" t="s">
        <v>457</v>
      </c>
      <c r="B21" s="127"/>
      <c r="C21" s="127">
        <f>'5.kiadás'!H367</f>
        <v>183102</v>
      </c>
      <c r="D21" s="127">
        <f>'5.kiadás'!I367</f>
        <v>183102</v>
      </c>
      <c r="E21" s="184">
        <f t="shared" si="0"/>
        <v>1</v>
      </c>
    </row>
    <row r="22" spans="1:5" ht="15.75">
      <c r="A22" s="219" t="s">
        <v>330</v>
      </c>
      <c r="B22" s="127">
        <f>SUM(B10:B16)</f>
        <v>47498300</v>
      </c>
      <c r="C22" s="127">
        <f>SUM(C10:C21)</f>
        <v>50475905</v>
      </c>
      <c r="D22" s="127">
        <f>SUM(D10:D21)</f>
        <v>46510001</v>
      </c>
      <c r="E22" s="184">
        <f t="shared" si="0"/>
        <v>0.9214297594069883</v>
      </c>
    </row>
    <row r="23" spans="1:5" ht="15.75">
      <c r="A23" s="219" t="s">
        <v>331</v>
      </c>
      <c r="B23" s="127">
        <v>12649700</v>
      </c>
      <c r="C23" s="127">
        <f>'5.kiadás'!H61+'5.kiadás'!H119+'5.kiadás'!H217+'5.kiadás'!H284+'5.kiadás'!H368+'5.kiadás'!H421+'5.kiadás'!H465+'5.kiadás'!H536</f>
        <v>3871443</v>
      </c>
      <c r="D23" s="127">
        <f>'5.kiadás'!I61+'5.kiadás'!I119+'5.kiadás'!I217+'5.kiadás'!I284+'5.kiadás'!I368+'5.kiadás'!I421+'5.kiadás'!I465+'5.kiadás'!I536</f>
        <v>2805835</v>
      </c>
      <c r="E23" s="184">
        <f t="shared" si="0"/>
        <v>0.7247517269400583</v>
      </c>
    </row>
    <row r="24" spans="1:5" ht="15.75">
      <c r="A24" s="231" t="s">
        <v>332</v>
      </c>
      <c r="B24" s="172">
        <f>SUM(B22:B23)</f>
        <v>60148000</v>
      </c>
      <c r="C24" s="172">
        <f>SUM(C22:C23)</f>
        <v>54347348</v>
      </c>
      <c r="D24" s="172">
        <f>SUM(D22:D23)</f>
        <v>49315836</v>
      </c>
      <c r="E24" s="235">
        <f t="shared" si="0"/>
        <v>0.9074193647866682</v>
      </c>
    </row>
    <row r="25" spans="1:5" ht="15.75">
      <c r="A25" s="219"/>
      <c r="B25" s="127"/>
      <c r="C25" s="154"/>
      <c r="D25" s="154"/>
      <c r="E25" s="184"/>
    </row>
    <row r="26" spans="1:5" ht="15.75">
      <c r="A26" s="232" t="s">
        <v>333</v>
      </c>
      <c r="B26" s="91">
        <f>B22+B23</f>
        <v>60148000</v>
      </c>
      <c r="C26" s="91">
        <f>C22+C23</f>
        <v>54347348</v>
      </c>
      <c r="D26" s="91">
        <f>D22+D23</f>
        <v>49315836</v>
      </c>
      <c r="E26" s="192">
        <f t="shared" si="0"/>
        <v>0.9074193647866682</v>
      </c>
    </row>
    <row r="27" spans="1:5" ht="15.75">
      <c r="A27" s="219"/>
      <c r="B27" s="127"/>
      <c r="C27" s="154"/>
      <c r="D27" s="154"/>
      <c r="E27" s="184"/>
    </row>
    <row r="28" spans="1:5" ht="15.75">
      <c r="A28" s="222" t="s">
        <v>37</v>
      </c>
      <c r="B28" s="127"/>
      <c r="C28" s="154"/>
      <c r="D28" s="154"/>
      <c r="E28" s="184"/>
    </row>
    <row r="29" spans="1:5" ht="15.75">
      <c r="A29" s="219" t="s">
        <v>374</v>
      </c>
      <c r="B29" s="127">
        <v>11811000</v>
      </c>
      <c r="C29" s="127">
        <f>'5.kiadás'!H313</f>
        <v>13157547</v>
      </c>
      <c r="D29" s="127">
        <f>'5.kiadás'!I313</f>
        <v>13157547</v>
      </c>
      <c r="E29" s="184">
        <f t="shared" si="0"/>
        <v>1</v>
      </c>
    </row>
    <row r="30" spans="1:5" ht="15.75">
      <c r="A30" s="219" t="s">
        <v>334</v>
      </c>
      <c r="B30" s="127">
        <v>11811000</v>
      </c>
      <c r="C30" s="127">
        <f>'5.kiadás'!H423</f>
        <v>0</v>
      </c>
      <c r="D30" s="127">
        <f>'5.kiadás'!I423</f>
        <v>0</v>
      </c>
      <c r="E30" s="184"/>
    </row>
    <row r="31" spans="1:5" ht="15.75">
      <c r="A31" s="219" t="s">
        <v>379</v>
      </c>
      <c r="B31" s="127">
        <v>7874000</v>
      </c>
      <c r="C31" s="127">
        <v>1131846</v>
      </c>
      <c r="D31" s="127">
        <v>1131846</v>
      </c>
      <c r="E31" s="184">
        <f t="shared" si="0"/>
        <v>1</v>
      </c>
    </row>
    <row r="32" spans="1:5" ht="15.75">
      <c r="A32" s="219" t="s">
        <v>380</v>
      </c>
      <c r="B32" s="127">
        <v>11811000</v>
      </c>
      <c r="C32" s="127">
        <f>'5.kiadás'!H161</f>
        <v>11811000</v>
      </c>
      <c r="D32" s="127">
        <f>'5.kiadás'!I161</f>
        <v>6832635</v>
      </c>
      <c r="E32" s="184">
        <f t="shared" si="0"/>
        <v>0.578497586995174</v>
      </c>
    </row>
    <row r="33" spans="1:5" ht="15.75">
      <c r="A33" s="219" t="s">
        <v>377</v>
      </c>
      <c r="B33" s="127">
        <v>6692900</v>
      </c>
      <c r="C33" s="127">
        <v>0</v>
      </c>
      <c r="D33" s="127">
        <v>0</v>
      </c>
      <c r="E33" s="184"/>
    </row>
    <row r="34" spans="1:5" ht="15.75">
      <c r="A34" s="219" t="s">
        <v>378</v>
      </c>
      <c r="B34" s="127">
        <v>3937000</v>
      </c>
      <c r="C34" s="127">
        <v>0</v>
      </c>
      <c r="D34" s="127">
        <v>0</v>
      </c>
      <c r="E34" s="184"/>
    </row>
    <row r="35" spans="1:5" ht="15.75">
      <c r="A35" s="219" t="s">
        <v>459</v>
      </c>
      <c r="B35" s="127"/>
      <c r="C35" s="127">
        <v>22834600</v>
      </c>
      <c r="D35" s="127">
        <v>22834600</v>
      </c>
      <c r="E35" s="184">
        <f t="shared" si="0"/>
        <v>1</v>
      </c>
    </row>
    <row r="36" spans="1:5" ht="15.75">
      <c r="A36" s="219" t="s">
        <v>335</v>
      </c>
      <c r="B36" s="127">
        <f>SUM(B29:B34)</f>
        <v>53936900</v>
      </c>
      <c r="C36" s="127">
        <f>SUM(C29:C35)</f>
        <v>48934993</v>
      </c>
      <c r="D36" s="127">
        <f>SUM(D29:D35)</f>
        <v>43956628</v>
      </c>
      <c r="E36" s="184">
        <f t="shared" si="0"/>
        <v>0.8982657461502038</v>
      </c>
    </row>
    <row r="37" spans="1:5" ht="15.75">
      <c r="A37" s="219" t="s">
        <v>336</v>
      </c>
      <c r="B37" s="127">
        <v>14563100</v>
      </c>
      <c r="C37" s="127">
        <f>'5.kiadás'!H122+'5.kiadás'!H162+'5.kiadás'!H287+'5.kiadás'!H314+'5.kiadás'!H424</f>
        <v>13144978</v>
      </c>
      <c r="D37" s="127">
        <f>'5.kiadás'!I122+'5.kiadás'!I162+'5.kiadás'!I287+'5.kiadás'!I314+'5.kiadás'!I424</f>
        <v>11800790</v>
      </c>
      <c r="E37" s="184">
        <f t="shared" si="0"/>
        <v>0.8977413275244736</v>
      </c>
    </row>
    <row r="38" spans="1:5" ht="15.75">
      <c r="A38" s="232" t="s">
        <v>337</v>
      </c>
      <c r="B38" s="91">
        <f>SUM(B36:B37)</f>
        <v>68500000</v>
      </c>
      <c r="C38" s="91">
        <f>SUM(C36:C37)</f>
        <v>62079971</v>
      </c>
      <c r="D38" s="91">
        <f>SUM(D36:D37)</f>
        <v>55757418</v>
      </c>
      <c r="E38" s="192">
        <f t="shared" si="0"/>
        <v>0.8981547043570622</v>
      </c>
    </row>
    <row r="39" spans="1:5" ht="15.75">
      <c r="A39" s="219"/>
      <c r="B39" s="127"/>
      <c r="C39" s="154"/>
      <c r="D39" s="154"/>
      <c r="E39" s="184"/>
    </row>
    <row r="40" spans="1:5" ht="15.75">
      <c r="A40" s="232" t="s">
        <v>338</v>
      </c>
      <c r="B40" s="91">
        <f>B26+B38</f>
        <v>128648000</v>
      </c>
      <c r="C40" s="91">
        <f>C26+C38</f>
        <v>116427319</v>
      </c>
      <c r="D40" s="91">
        <f>D26+D38</f>
        <v>105073254</v>
      </c>
      <c r="E40" s="192">
        <f t="shared" si="0"/>
        <v>0.902479374278128</v>
      </c>
    </row>
    <row r="41" spans="1:5" ht="16.5" thickBot="1">
      <c r="A41" s="233" t="s">
        <v>339</v>
      </c>
      <c r="B41" s="234">
        <f>B24+B38</f>
        <v>128648000</v>
      </c>
      <c r="C41" s="234">
        <f>C24+C38</f>
        <v>116427319</v>
      </c>
      <c r="D41" s="234">
        <f>D24+D38</f>
        <v>105073254</v>
      </c>
      <c r="E41" s="235">
        <f t="shared" si="0"/>
        <v>0.902479374278128</v>
      </c>
    </row>
  </sheetData>
  <sheetProtection selectLockedCells="1" selectUnlockedCells="1"/>
  <mergeCells count="11">
    <mergeCell ref="A4:E4"/>
    <mergeCell ref="A5:E5"/>
    <mergeCell ref="A1:E1"/>
    <mergeCell ref="D7:D8"/>
    <mergeCell ref="E7:E8"/>
    <mergeCell ref="A7:A8"/>
    <mergeCell ref="B7:B8"/>
    <mergeCell ref="A2:B2"/>
    <mergeCell ref="C7:C8"/>
    <mergeCell ref="A6:C6"/>
    <mergeCell ref="A3:E3"/>
  </mergeCells>
  <printOptions headings="1"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27"/>
  <sheetViews>
    <sheetView view="pageBreakPreview" zoomScale="60" zoomScalePageLayoutView="0" workbookViewId="0" topLeftCell="A1">
      <selection activeCell="A4" sqref="A4:E4"/>
    </sheetView>
  </sheetViews>
  <sheetFormatPr defaultColWidth="9.140625" defaultRowHeight="12.75"/>
  <cols>
    <col min="1" max="1" width="4.57421875" style="1" customWidth="1"/>
    <col min="2" max="2" width="34.28125" style="1" customWidth="1"/>
    <col min="3" max="3" width="13.7109375" style="1" customWidth="1"/>
    <col min="4" max="4" width="13.57421875" style="1" customWidth="1"/>
    <col min="5" max="5" width="15.421875" style="1" customWidth="1"/>
    <col min="6" max="253" width="9.140625" style="1" customWidth="1"/>
  </cols>
  <sheetData>
    <row r="1" spans="1:5" ht="15.75">
      <c r="A1" s="365" t="s">
        <v>460</v>
      </c>
      <c r="B1" s="365"/>
      <c r="C1" s="365"/>
      <c r="D1" s="365"/>
      <c r="E1" s="365"/>
    </row>
    <row r="2" spans="1:4" ht="15.75">
      <c r="A2" s="292"/>
      <c r="B2" s="292"/>
      <c r="C2" s="292"/>
      <c r="D2" s="292"/>
    </row>
    <row r="3" spans="1:5" ht="15.75">
      <c r="A3" s="366" t="s">
        <v>0</v>
      </c>
      <c r="B3" s="366"/>
      <c r="C3" s="366"/>
      <c r="D3" s="366"/>
      <c r="E3" s="366"/>
    </row>
    <row r="4" spans="1:5" ht="15.75">
      <c r="A4" s="367" t="s">
        <v>663</v>
      </c>
      <c r="B4" s="367"/>
      <c r="C4" s="367"/>
      <c r="D4" s="367"/>
      <c r="E4" s="367"/>
    </row>
    <row r="5" spans="2:4" ht="15.75">
      <c r="B5" s="367"/>
      <c r="C5" s="367"/>
      <c r="D5" s="367"/>
    </row>
    <row r="6" spans="2:5" ht="15.75">
      <c r="B6" s="51"/>
      <c r="C6" s="50"/>
      <c r="D6" s="50"/>
      <c r="E6" s="49" t="s">
        <v>328</v>
      </c>
    </row>
    <row r="7" spans="1:253" ht="15.75" customHeight="1">
      <c r="A7" s="360" t="s">
        <v>1</v>
      </c>
      <c r="B7" s="360"/>
      <c r="C7" s="361" t="s">
        <v>368</v>
      </c>
      <c r="D7" s="362" t="s">
        <v>369</v>
      </c>
      <c r="E7" s="363" t="s">
        <v>476</v>
      </c>
      <c r="IS7"/>
    </row>
    <row r="8" spans="1:253" ht="15.75">
      <c r="A8" s="360"/>
      <c r="B8" s="360"/>
      <c r="C8" s="361"/>
      <c r="D8" s="362"/>
      <c r="E8" s="364" t="s">
        <v>340</v>
      </c>
      <c r="IS8"/>
    </row>
    <row r="9" spans="1:253" ht="15.75">
      <c r="A9" s="47" t="s">
        <v>4</v>
      </c>
      <c r="B9" s="48" t="s">
        <v>341</v>
      </c>
      <c r="C9" s="117">
        <v>142268676</v>
      </c>
      <c r="D9" s="117">
        <v>142508052</v>
      </c>
      <c r="E9" s="126">
        <f>'1.Mérleg'!E10</f>
        <v>129835470</v>
      </c>
      <c r="IS9"/>
    </row>
    <row r="10" spans="1:253" ht="15.75">
      <c r="A10" s="47" t="s">
        <v>6</v>
      </c>
      <c r="B10" s="48" t="s">
        <v>7</v>
      </c>
      <c r="C10" s="117">
        <v>123518708</v>
      </c>
      <c r="D10" s="117">
        <v>135467272</v>
      </c>
      <c r="E10" s="126">
        <f>'1.Mérleg'!E11</f>
        <v>155322687</v>
      </c>
      <c r="IS10"/>
    </row>
    <row r="11" spans="1:253" ht="15.75">
      <c r="A11" s="47" t="s">
        <v>8</v>
      </c>
      <c r="B11" s="48" t="s">
        <v>9</v>
      </c>
      <c r="C11" s="117">
        <v>128617609</v>
      </c>
      <c r="D11" s="117">
        <v>164486176</v>
      </c>
      <c r="E11" s="126">
        <f>'1.Mérleg'!E12</f>
        <v>142624818</v>
      </c>
      <c r="IS11"/>
    </row>
    <row r="12" spans="1:253" ht="15.75">
      <c r="A12" s="47" t="s">
        <v>10</v>
      </c>
      <c r="B12" s="48" t="s">
        <v>11</v>
      </c>
      <c r="C12" s="63">
        <v>1018753</v>
      </c>
      <c r="D12" s="63">
        <v>1354710</v>
      </c>
      <c r="E12" s="126">
        <f>'1.Mérleg'!E13</f>
        <v>640717</v>
      </c>
      <c r="IS12"/>
    </row>
    <row r="13" spans="1:253" ht="15.75">
      <c r="A13" s="48"/>
      <c r="B13" s="47" t="s">
        <v>342</v>
      </c>
      <c r="C13" s="120">
        <f>SUM(C9:C12)</f>
        <v>395423746</v>
      </c>
      <c r="D13" s="121">
        <f>SUM(D9:D12)</f>
        <v>443816210</v>
      </c>
      <c r="E13" s="118">
        <f>SUM(E9:E12)</f>
        <v>428423692</v>
      </c>
      <c r="IS13"/>
    </row>
    <row r="14" spans="1:253" ht="15.75">
      <c r="A14" s="13"/>
      <c r="B14" s="13"/>
      <c r="C14" s="13"/>
      <c r="D14" s="13"/>
      <c r="E14" s="13"/>
      <c r="IS14"/>
    </row>
    <row r="15" spans="1:253" ht="15.75">
      <c r="A15" s="13"/>
      <c r="B15" s="13"/>
      <c r="C15" s="13"/>
      <c r="D15" s="13"/>
      <c r="E15" s="13"/>
      <c r="IS15"/>
    </row>
    <row r="16" spans="1:253" ht="15.75">
      <c r="A16" s="47" t="s">
        <v>23</v>
      </c>
      <c r="B16" s="27" t="s">
        <v>169</v>
      </c>
      <c r="C16" s="122">
        <v>76259751</v>
      </c>
      <c r="D16" s="122">
        <v>86458338</v>
      </c>
      <c r="E16" s="127">
        <f>'1.Mérleg'!E27</f>
        <v>94323829</v>
      </c>
      <c r="IS16"/>
    </row>
    <row r="17" spans="1:253" ht="15.75">
      <c r="A17" s="47" t="s">
        <v>25</v>
      </c>
      <c r="B17" s="27" t="s">
        <v>343</v>
      </c>
      <c r="C17" s="63">
        <v>16049530</v>
      </c>
      <c r="D17" s="63">
        <v>16413929</v>
      </c>
      <c r="E17" s="127">
        <f>'1.Mérleg'!E28</f>
        <v>17849626</v>
      </c>
      <c r="IS17"/>
    </row>
    <row r="18" spans="1:253" ht="15.75">
      <c r="A18" s="47" t="s">
        <v>27</v>
      </c>
      <c r="B18" s="27" t="s">
        <v>28</v>
      </c>
      <c r="C18" s="63">
        <v>124968876</v>
      </c>
      <c r="D18" s="63">
        <v>183291982</v>
      </c>
      <c r="E18" s="127">
        <f>'1.Mérleg'!E29</f>
        <v>150764875</v>
      </c>
      <c r="IS18"/>
    </row>
    <row r="19" spans="1:253" ht="15.75">
      <c r="A19" s="53" t="s">
        <v>29</v>
      </c>
      <c r="B19" s="27" t="s">
        <v>305</v>
      </c>
      <c r="C19" s="63">
        <v>5624470</v>
      </c>
      <c r="D19" s="63">
        <v>4931200</v>
      </c>
      <c r="E19" s="127">
        <f>'1.Mérleg'!E30</f>
        <v>4213100</v>
      </c>
      <c r="IS19"/>
    </row>
    <row r="20" spans="1:253" ht="15.75">
      <c r="A20" s="53" t="s">
        <v>31</v>
      </c>
      <c r="B20" s="27" t="s">
        <v>32</v>
      </c>
      <c r="C20" s="63">
        <v>79887219</v>
      </c>
      <c r="D20" s="63">
        <v>90373336</v>
      </c>
      <c r="E20" s="127">
        <f>'1.Mérleg'!E31</f>
        <v>91606903</v>
      </c>
      <c r="IS20"/>
    </row>
    <row r="21" spans="1:253" ht="15.75">
      <c r="A21" s="47"/>
      <c r="B21" s="54" t="s">
        <v>344</v>
      </c>
      <c r="C21" s="52">
        <f>SUM(C16:C20)</f>
        <v>302789846</v>
      </c>
      <c r="D21" s="64">
        <f>SUM(D16:D20)</f>
        <v>381468785</v>
      </c>
      <c r="E21" s="66">
        <f>SUM(E16:E20)</f>
        <v>358758333</v>
      </c>
      <c r="IS21"/>
    </row>
    <row r="22" spans="1:253" ht="15.75">
      <c r="A22" s="55"/>
      <c r="B22" s="13"/>
      <c r="C22" s="13"/>
      <c r="D22" s="13"/>
      <c r="E22" s="119"/>
      <c r="IS22"/>
    </row>
    <row r="23" spans="1:253" ht="15.75">
      <c r="A23" s="56" t="s">
        <v>20</v>
      </c>
      <c r="B23" s="57" t="s">
        <v>19</v>
      </c>
      <c r="C23" s="63">
        <v>227618649</v>
      </c>
      <c r="D23" s="63">
        <v>288510138</v>
      </c>
      <c r="E23" s="127">
        <f>'1.Mérleg'!E21</f>
        <v>209125406</v>
      </c>
      <c r="IS23"/>
    </row>
    <row r="24" spans="1:253" ht="15.75">
      <c r="A24" s="58"/>
      <c r="B24" s="59" t="s">
        <v>345</v>
      </c>
      <c r="C24" s="52">
        <f>SUM(C23)</f>
        <v>227618649</v>
      </c>
      <c r="D24" s="64">
        <f>SUM(D23)</f>
        <v>288510138</v>
      </c>
      <c r="E24" s="66">
        <f>SUM(E23)</f>
        <v>209125406</v>
      </c>
      <c r="IS24"/>
    </row>
    <row r="25" spans="5:253" ht="15.75">
      <c r="E25" s="119"/>
      <c r="IS25"/>
    </row>
    <row r="26" spans="1:253" ht="15.75">
      <c r="A26" s="60" t="s">
        <v>41</v>
      </c>
      <c r="B26" s="48" t="s">
        <v>40</v>
      </c>
      <c r="C26" s="63">
        <v>8548231</v>
      </c>
      <c r="D26" s="63">
        <v>8211144</v>
      </c>
      <c r="E26" s="127">
        <f>'1.Mérleg'!E39</f>
        <v>5762819</v>
      </c>
      <c r="IS26"/>
    </row>
    <row r="27" spans="1:253" ht="15.75">
      <c r="A27" s="48"/>
      <c r="B27" s="47" t="s">
        <v>346</v>
      </c>
      <c r="C27" s="52">
        <f>SUM(C26)</f>
        <v>8548231</v>
      </c>
      <c r="D27" s="64">
        <f>SUM(D26)</f>
        <v>8211144</v>
      </c>
      <c r="E27" s="66">
        <f>SUM(E26)</f>
        <v>5762819</v>
      </c>
      <c r="IS27"/>
    </row>
  </sheetData>
  <sheetProtection selectLockedCells="1" selectUnlockedCells="1"/>
  <mergeCells count="9">
    <mergeCell ref="A7:B8"/>
    <mergeCell ref="C7:C8"/>
    <mergeCell ref="D7:D8"/>
    <mergeCell ref="E7:E8"/>
    <mergeCell ref="A1:E1"/>
    <mergeCell ref="A3:E3"/>
    <mergeCell ref="A4:E4"/>
    <mergeCell ref="A2:D2"/>
    <mergeCell ref="B5:D5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3"/>
  <sheetViews>
    <sheetView view="pageBreakPreview" zoomScale="60" zoomScalePageLayoutView="0" workbookViewId="0" topLeftCell="A1">
      <selection activeCell="A4" sqref="A4:E4"/>
    </sheetView>
  </sheetViews>
  <sheetFormatPr defaultColWidth="9.140625" defaultRowHeight="12.75"/>
  <cols>
    <col min="1" max="1" width="4.28125" style="1" customWidth="1"/>
    <col min="2" max="2" width="39.7109375" style="1" customWidth="1"/>
    <col min="3" max="3" width="13.57421875" style="1" customWidth="1"/>
    <col min="4" max="4" width="14.57421875" style="1" customWidth="1"/>
    <col min="5" max="5" width="14.00390625" style="1" customWidth="1"/>
    <col min="6" max="253" width="9.140625" style="1" customWidth="1"/>
  </cols>
  <sheetData>
    <row r="1" spans="1:5" ht="15.75" customHeight="1">
      <c r="A1" s="365" t="s">
        <v>461</v>
      </c>
      <c r="B1" s="365"/>
      <c r="C1" s="365"/>
      <c r="D1" s="365"/>
      <c r="E1" s="365"/>
    </row>
    <row r="2" spans="1:4" ht="15.75" customHeight="1">
      <c r="A2" s="371"/>
      <c r="B2" s="371"/>
      <c r="C2" s="371"/>
      <c r="D2" s="371"/>
    </row>
    <row r="3" spans="1:5" ht="15.75" customHeight="1">
      <c r="A3" s="366" t="s">
        <v>0</v>
      </c>
      <c r="B3" s="366"/>
      <c r="C3" s="366"/>
      <c r="D3" s="366"/>
      <c r="E3" s="366"/>
    </row>
    <row r="4" spans="1:5" ht="15.75" customHeight="1">
      <c r="A4" s="367" t="s">
        <v>664</v>
      </c>
      <c r="B4" s="367"/>
      <c r="C4" s="367"/>
      <c r="D4" s="367"/>
      <c r="E4" s="367"/>
    </row>
    <row r="5" spans="2:4" ht="15.75" customHeight="1">
      <c r="B5" s="367"/>
      <c r="C5" s="367"/>
      <c r="D5" s="367"/>
    </row>
    <row r="6" spans="2:5" ht="15.75" customHeight="1">
      <c r="B6" s="51"/>
      <c r="C6" s="49"/>
      <c r="D6" s="49"/>
      <c r="E6" s="26" t="s">
        <v>328</v>
      </c>
    </row>
    <row r="7" spans="1:253" ht="15.75" customHeight="1">
      <c r="A7" s="368" t="s">
        <v>1</v>
      </c>
      <c r="B7" s="368"/>
      <c r="C7" s="369" t="s">
        <v>366</v>
      </c>
      <c r="D7" s="370" t="s">
        <v>367</v>
      </c>
      <c r="E7" s="298" t="s">
        <v>477</v>
      </c>
      <c r="IS7"/>
    </row>
    <row r="8" spans="1:253" ht="15.75" customHeight="1">
      <c r="A8" s="368"/>
      <c r="B8" s="368"/>
      <c r="C8" s="369"/>
      <c r="D8" s="370"/>
      <c r="E8" s="298"/>
      <c r="IS8"/>
    </row>
    <row r="9" spans="1:253" ht="15.75" customHeight="1">
      <c r="A9" s="47" t="s">
        <v>13</v>
      </c>
      <c r="B9" s="48" t="s">
        <v>347</v>
      </c>
      <c r="C9" s="63">
        <v>68470000</v>
      </c>
      <c r="D9" s="63">
        <v>13617356</v>
      </c>
      <c r="E9" s="128">
        <f>'1.Mérleg'!E16</f>
        <v>54436515</v>
      </c>
      <c r="IS9"/>
    </row>
    <row r="10" spans="1:253" ht="15.75" customHeight="1">
      <c r="A10" s="47" t="s">
        <v>15</v>
      </c>
      <c r="B10" s="48" t="s">
        <v>16</v>
      </c>
      <c r="C10" s="63">
        <v>598145</v>
      </c>
      <c r="D10" s="63">
        <v>8996529</v>
      </c>
      <c r="E10" s="127">
        <f>'1.Mérleg'!E17</f>
        <v>598146</v>
      </c>
      <c r="IS10"/>
    </row>
    <row r="11" spans="1:253" ht="15.75" customHeight="1">
      <c r="A11" s="47" t="s">
        <v>17</v>
      </c>
      <c r="B11" s="48" t="s">
        <v>18</v>
      </c>
      <c r="C11" s="63">
        <v>44800000</v>
      </c>
      <c r="D11" s="63">
        <v>13913382</v>
      </c>
      <c r="E11" s="127">
        <f>'1.Mérleg'!E18</f>
        <v>842624</v>
      </c>
      <c r="IS11"/>
    </row>
    <row r="12" spans="1:253" ht="15.75" customHeight="1">
      <c r="A12" s="123"/>
      <c r="B12" s="123" t="s">
        <v>348</v>
      </c>
      <c r="C12" s="120">
        <f>SUM(C9:C11)</f>
        <v>113868145</v>
      </c>
      <c r="D12" s="121">
        <f>SUM(D9:D11)</f>
        <v>36527267</v>
      </c>
      <c r="E12" s="66">
        <f>SUM(E9:E11)</f>
        <v>55877285</v>
      </c>
      <c r="IS12"/>
    </row>
    <row r="13" spans="1:253" ht="15.75" customHeight="1">
      <c r="A13" s="61"/>
      <c r="IS13"/>
    </row>
    <row r="14" spans="1:253" ht="15.75" customHeight="1">
      <c r="A14" s="61"/>
      <c r="IS14"/>
    </row>
    <row r="15" spans="1:253" ht="15.75" customHeight="1">
      <c r="A15" s="47" t="s">
        <v>34</v>
      </c>
      <c r="B15" s="27" t="s">
        <v>35</v>
      </c>
      <c r="C15" s="63">
        <v>125076927</v>
      </c>
      <c r="D15" s="63">
        <v>155451917</v>
      </c>
      <c r="E15" s="127">
        <f>'1.Mérleg'!E34</f>
        <v>49315836</v>
      </c>
      <c r="IS15"/>
    </row>
    <row r="16" spans="1:253" ht="15.75" customHeight="1">
      <c r="A16" s="47" t="s">
        <v>36</v>
      </c>
      <c r="B16" s="27" t="s">
        <v>37</v>
      </c>
      <c r="C16" s="63">
        <v>88900827</v>
      </c>
      <c r="D16" s="63">
        <v>19544048</v>
      </c>
      <c r="E16" s="127">
        <f>'1.Mérleg'!E35</f>
        <v>55757418</v>
      </c>
      <c r="IS16"/>
    </row>
    <row r="17" spans="1:253" ht="15.75" customHeight="1">
      <c r="A17" s="47" t="s">
        <v>38</v>
      </c>
      <c r="B17" s="27" t="s">
        <v>39</v>
      </c>
      <c r="C17" s="63">
        <v>1277498</v>
      </c>
      <c r="D17" s="63">
        <v>264454</v>
      </c>
      <c r="E17" s="127">
        <f>'1.Mérleg'!E36</f>
        <v>0</v>
      </c>
      <c r="IS17"/>
    </row>
    <row r="18" spans="1:253" ht="15.75" customHeight="1">
      <c r="A18" s="48"/>
      <c r="B18" s="47" t="s">
        <v>349</v>
      </c>
      <c r="C18" s="52">
        <f>SUM(C15:C17)</f>
        <v>215255252</v>
      </c>
      <c r="D18" s="64">
        <f>SUM(D15:D17)</f>
        <v>175260419</v>
      </c>
      <c r="E18" s="66">
        <f>SUM(E15:E17)</f>
        <v>105073254</v>
      </c>
      <c r="IS18"/>
    </row>
    <row r="19" ht="15.75" customHeight="1">
      <c r="IS19"/>
    </row>
    <row r="20" spans="2:253" ht="15.75" customHeight="1">
      <c r="B20" s="61"/>
      <c r="IS20"/>
    </row>
    <row r="21" spans="1:253" ht="15.75" customHeight="1">
      <c r="A21" s="97"/>
      <c r="B21" s="97" t="s">
        <v>127</v>
      </c>
      <c r="C21" s="66">
        <v>736910540</v>
      </c>
      <c r="D21" s="66">
        <v>768793615</v>
      </c>
      <c r="E21" s="66">
        <f>'1.Mérleg'!E23</f>
        <v>693426383</v>
      </c>
      <c r="IS21"/>
    </row>
    <row r="22" spans="1:253" ht="15.75" customHeight="1">
      <c r="A22" s="61"/>
      <c r="B22" s="61"/>
      <c r="C22" s="62"/>
      <c r="D22" s="62"/>
      <c r="IS22"/>
    </row>
    <row r="23" spans="1:253" ht="15.75" customHeight="1">
      <c r="A23" s="97"/>
      <c r="B23" s="97" t="s">
        <v>312</v>
      </c>
      <c r="C23" s="66">
        <v>526593329</v>
      </c>
      <c r="D23" s="66">
        <v>564940348</v>
      </c>
      <c r="E23" s="66">
        <f>'1.Mérleg'!E41</f>
        <v>469594406</v>
      </c>
      <c r="IS23"/>
    </row>
  </sheetData>
  <sheetProtection selectLockedCells="1" selectUnlockedCells="1"/>
  <mergeCells count="9">
    <mergeCell ref="A7:B8"/>
    <mergeCell ref="C7:C8"/>
    <mergeCell ref="D7:D8"/>
    <mergeCell ref="E7:E8"/>
    <mergeCell ref="A1:E1"/>
    <mergeCell ref="A3:E3"/>
    <mergeCell ref="A4:E4"/>
    <mergeCell ref="A2:D2"/>
    <mergeCell ref="B5:D5"/>
  </mergeCells>
  <printOptions headings="1"/>
  <pageMargins left="0.7083333333333334" right="0.7083333333333334" top="0.7138888888888889" bottom="0.7479166666666667" header="0.5118055555555555" footer="0.511805555555555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FritsSzilvi</dc:creator>
  <cp:keywords/>
  <dc:description/>
  <cp:lastModifiedBy>Virag</cp:lastModifiedBy>
  <cp:lastPrinted>2020-06-08T07:48:36Z</cp:lastPrinted>
  <dcterms:created xsi:type="dcterms:W3CDTF">2018-02-05T07:13:48Z</dcterms:created>
  <dcterms:modified xsi:type="dcterms:W3CDTF">2020-06-08T07:48:46Z</dcterms:modified>
  <cp:category/>
  <cp:version/>
  <cp:contentType/>
  <cp:contentStatus/>
</cp:coreProperties>
</file>