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62" activeTab="11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i kiadások" sheetId="7" r:id="rId7"/>
    <sheet name="8.Tájékoztató műk" sheetId="8" r:id="rId8"/>
    <sheet name="9.Tájékoztató felhalm." sheetId="9" r:id="rId9"/>
    <sheet name="10.Vagyonkimutatás" sheetId="10" r:id="rId10"/>
    <sheet name="11. Pénzmaradvány kimutatás" sheetId="11" r:id="rId11"/>
    <sheet name="12. Eredménykimutatás" sheetId="12" r:id="rId12"/>
    <sheet name="13.Személyi juttatások" sheetId="13" r:id="rId13"/>
    <sheet name="14.Kimutatás immateriális javak" sheetId="14" r:id="rId14"/>
  </sheets>
  <definedNames>
    <definedName name="Excel_BuiltIn_Print_Area_1_1">#REF!</definedName>
    <definedName name="Excel_BuiltIn_Print_Area_2_1">#REF!</definedName>
    <definedName name="Excel_BuiltIn_Print_Area_3_1">'5.kiadás'!$A$3:$E$258</definedName>
    <definedName name="_xlnm.Print_Titles" localSheetId="1">'2. Bevétel funkció'!$1:$5</definedName>
    <definedName name="_xlnm.Print_Titles" localSheetId="2">'3.Bevétel jogcím'!$1:$5</definedName>
    <definedName name="_xlnm.Print_Titles" localSheetId="4">'5.kiadás'!$1:$5</definedName>
    <definedName name="_xlnm.Print_Area" localSheetId="12">'13.Személyi juttatások'!$A$1:$K$17</definedName>
    <definedName name="_xlnm.Print_Area" localSheetId="1">'2. Bevétel funkció'!$A$1:$I$137</definedName>
    <definedName name="_xlnm.Print_Area" localSheetId="2">'3.Bevétel jogcím'!$A$1:$J$78</definedName>
    <definedName name="_xlnm.Print_Area" localSheetId="4">'5.kiadás'!$A$1:$J$490</definedName>
  </definedNames>
  <calcPr fullCalcOnLoad="1"/>
</workbook>
</file>

<file path=xl/sharedStrings.xml><?xml version="1.0" encoding="utf-8"?>
<sst xmlns="http://schemas.openxmlformats.org/spreadsheetml/2006/main" count="1554" uniqueCount="579">
  <si>
    <t>RÉVFÜLÖP NAGYKÖZSÉG ÖNKORMÁNYZATA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</si>
  <si>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</si>
  <si>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</si>
  <si>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</si>
  <si>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</si>
  <si>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</si>
  <si>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</si>
  <si>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</si>
  <si>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</si>
  <si>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</si>
  <si>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</si>
  <si>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</si>
  <si>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</si>
  <si>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</si>
  <si>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</si>
  <si>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</si>
  <si>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</si>
  <si>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</si>
  <si>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</si>
  <si>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</si>
  <si>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</si>
  <si>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</si>
  <si>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</si>
  <si>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</si>
  <si>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</si>
  <si>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</si>
  <si>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</si>
  <si>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</si>
  <si>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</si>
  <si>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</si>
  <si>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</si>
  <si>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</si>
  <si>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</si>
  <si>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</si>
  <si>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</si>
  <si>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</si>
  <si>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</si>
  <si>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</si>
  <si>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</si>
  <si>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</si>
  <si>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</si>
  <si>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</si>
  <si>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</si>
  <si>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</si>
  <si>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</si>
  <si>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 xml:space="preserve">011130   Önkormányzatok és önk hiv jogalkotó és ált ig tevékenysége </t>
  </si>
  <si>
    <t>B16</t>
  </si>
  <si>
    <t>B402</t>
  </si>
  <si>
    <t>Szolgáltatások ellenértéke Esküvői szolgáltatás</t>
  </si>
  <si>
    <t>B406</t>
  </si>
  <si>
    <t>Kiszámlázott áfa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</si>
  <si>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</si>
  <si>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</si>
  <si>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</si>
  <si>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</si>
  <si>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</si>
  <si>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 törl)</t>
  </si>
  <si>
    <t>900020 Önkormányzatok funkcióira nem sorolható bevételei áll.kív.</t>
  </si>
  <si>
    <t>B34</t>
  </si>
  <si>
    <t>Vagyoni típusú adók</t>
  </si>
  <si>
    <t>B341</t>
  </si>
  <si>
    <t>Építményadó</t>
  </si>
  <si>
    <t>B344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</si>
  <si>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</si>
  <si>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</si>
  <si>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</si>
  <si>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</si>
  <si>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</si>
  <si>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</si>
  <si>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</si>
  <si>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</si>
  <si>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</si>
  <si>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</si>
  <si>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</si>
  <si>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B3617</t>
  </si>
  <si>
    <t>Késedelmi pótlék</t>
  </si>
  <si>
    <t>013320 Köztemető fenntartás és működtetés</t>
  </si>
  <si>
    <t xml:space="preserve">Szolgáltatások ellenértéke </t>
  </si>
  <si>
    <t>013350   Az önkormányzati vagyonnal való gazdálkodással kapcsolatos feladatok</t>
  </si>
  <si>
    <t>Bérleti díj</t>
  </si>
  <si>
    <t>Lakbér</t>
  </si>
  <si>
    <t>B403</t>
  </si>
  <si>
    <t>Közvetített szolgáltatások ellenértéke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</si>
  <si>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</si>
  <si>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</si>
  <si>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</si>
  <si>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</si>
  <si>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</si>
  <si>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</si>
  <si>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</si>
  <si>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 xml:space="preserve">B114 </t>
  </si>
  <si>
    <t>Települési önkormányzatok kulturális feladatainak támogatása</t>
  </si>
  <si>
    <t>B21</t>
  </si>
  <si>
    <t>018020    Központi költségvetési befizetések</t>
  </si>
  <si>
    <t>B814</t>
  </si>
  <si>
    <t>Államháztartáson belüli megelőlegezések</t>
  </si>
  <si>
    <t>018030    Támogatási célú finanszírozási műveletek</t>
  </si>
  <si>
    <t>Egyéb működési célú támogatások bevételei áh belülről</t>
  </si>
  <si>
    <t>Társult önk.támogatása óvodai neveléshez</t>
  </si>
  <si>
    <t>B81</t>
  </si>
  <si>
    <t>Belföldi finanszírozás bevételei</t>
  </si>
  <si>
    <t>B8131</t>
  </si>
  <si>
    <t>Előző év költségvetési maradványának igénybevétele</t>
  </si>
  <si>
    <t>041233   Hosszabb időtartamú közfoglalkoztatás</t>
  </si>
  <si>
    <t>047320   Turizmusfejlesztési támogatások és tevékenységek</t>
  </si>
  <si>
    <t>B401</t>
  </si>
  <si>
    <t>Készletértékesítés ellenértéke</t>
  </si>
  <si>
    <t>066020   Város és községgazdálkodási egyéb szolgáltatások</t>
  </si>
  <si>
    <t>072311    Fogorvosi alapellátás</t>
  </si>
  <si>
    <t>074031   Család és nővédelmi egészségügyi gondozás</t>
  </si>
  <si>
    <t>081061   Szabadidős park, fürdő és strandszolgáltatás</t>
  </si>
  <si>
    <t>Szolgáltatások ellenértéke</t>
  </si>
  <si>
    <t>082044   Könyvtári szolgáltatások</t>
  </si>
  <si>
    <t>Bevételek összesen</t>
  </si>
  <si>
    <t>jogcímenként</t>
  </si>
  <si>
    <t>Jogcímek</t>
  </si>
  <si>
    <t>Zöldterület gazd.kapcsolatos feladatok támogatása</t>
  </si>
  <si>
    <t>Közvilágítás támogatása</t>
  </si>
  <si>
    <t>Köztemető támogatása</t>
  </si>
  <si>
    <t>Közutak fenntartásának támogatása</t>
  </si>
  <si>
    <t>Települési önkormányzatok egyes köznevelési feladatainak támogatása</t>
  </si>
  <si>
    <t xml:space="preserve">Települési önk szociális,gyermekjóléti és gyermekétkeztetési feladat. </t>
  </si>
  <si>
    <t xml:space="preserve">     Önkormányzatok támogatása óvodai ellátáshoz</t>
  </si>
  <si>
    <t>Egyéb felhalmozási célú támogatások</t>
  </si>
  <si>
    <t>B361</t>
  </si>
  <si>
    <t>Közvetített szolgáltatások ellenértéke (Továbbszámlázott)</t>
  </si>
  <si>
    <t>Készletértékesítés ellenértéke (Tourinform)</t>
  </si>
  <si>
    <t>Működési célú kölcsönök visszatérülése (Helyi támogatás törlesztése)</t>
  </si>
  <si>
    <t>B8141</t>
  </si>
  <si>
    <t>Államháztartáson belüli megelőlegezések visszafizetése</t>
  </si>
  <si>
    <t>feladatonként</t>
  </si>
  <si>
    <t xml:space="preserve">          Ft</t>
  </si>
  <si>
    <t>Előirányzat</t>
  </si>
  <si>
    <t>Kötelező feladatok</t>
  </si>
  <si>
    <t>Önként vállalt feladatok</t>
  </si>
  <si>
    <t>Állam igazgatási feladatok</t>
  </si>
  <si>
    <t>Összesen</t>
  </si>
  <si>
    <t>011130   Önkormányzatok és önk hiv jogalkotó és ált ig tev.</t>
  </si>
  <si>
    <t>900020   Önkormányzatok funkcióira nem sorolható bev.</t>
  </si>
  <si>
    <t>013320   Köztemető fenntartása és működtetése</t>
  </si>
  <si>
    <t>013350   Az önkormányzati vagyonnal v. gazd. kapcs fel.</t>
  </si>
  <si>
    <t>018010   Önkormányzatok elszám. a közp  költségvetéssel</t>
  </si>
  <si>
    <t>018020   Központi költségvetési befizetések</t>
  </si>
  <si>
    <t>018030   Támogatási célú finanszírozási műveletek</t>
  </si>
  <si>
    <t>041233    Hosszabb időtartamú közfoglalkoztatás</t>
  </si>
  <si>
    <t>082092   Közművelődés</t>
  </si>
  <si>
    <t xml:space="preserve"> Ft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</si>
  <si>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</si>
  <si>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</si>
  <si>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</si>
  <si>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</si>
  <si>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</si>
  <si>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</si>
  <si>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</si>
  <si>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</si>
  <si>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</si>
  <si>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</si>
  <si>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</si>
  <si>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</si>
  <si>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</si>
  <si>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</si>
  <si>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</si>
  <si>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</si>
  <si>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</si>
  <si>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</si>
  <si>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</si>
  <si>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</si>
  <si>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</si>
  <si>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</si>
  <si>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</si>
  <si>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</si>
  <si>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</si>
  <si>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</si>
  <si>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</si>
  <si>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</si>
  <si>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beszerzése</t>
  </si>
  <si>
    <t>Egyéb anyagbeszerzés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</si>
  <si>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</si>
  <si>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</si>
  <si>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</si>
  <si>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</si>
  <si>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</si>
  <si>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</si>
  <si>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</si>
  <si>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</si>
  <si>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</si>
  <si>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</si>
  <si>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</si>
  <si>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</si>
  <si>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</si>
  <si>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</si>
  <si>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</si>
  <si>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</si>
  <si>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</si>
  <si>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</si>
  <si>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</si>
  <si>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</si>
  <si>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</si>
  <si>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</si>
  <si>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</si>
  <si>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</si>
  <si>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K506</t>
  </si>
  <si>
    <t>K512</t>
  </si>
  <si>
    <t>Egyéb működési célú támogatások államháztartáson kívülre</t>
  </si>
  <si>
    <t>K513</t>
  </si>
  <si>
    <t>Tartalékok</t>
  </si>
  <si>
    <t>K65</t>
  </si>
  <si>
    <t>Elmib részvény vásárlás</t>
  </si>
  <si>
    <t>018020  Központi költségvetési befizetések</t>
  </si>
  <si>
    <t>K914</t>
  </si>
  <si>
    <t>Előző évi támogatás megelőlegezés visszatérítése</t>
  </si>
  <si>
    <t>Államháztartáson belüli megelőlegezések  visszafizetése</t>
  </si>
  <si>
    <t>018030 Támogatási célú finanszírozási műveletek</t>
  </si>
  <si>
    <t>Állami támogatás</t>
  </si>
  <si>
    <t>Társult önkormányzatok támogatása</t>
  </si>
  <si>
    <t>Révfülöp önkormányzat támogatása</t>
  </si>
  <si>
    <t>Bölcsődei ellátás támogatása ( Zánka)</t>
  </si>
  <si>
    <t>013320    Köztemető fenntartása és működtetése</t>
  </si>
  <si>
    <t>K1113</t>
  </si>
  <si>
    <t>Bérleti és lizing díjak</t>
  </si>
  <si>
    <t>K335</t>
  </si>
  <si>
    <t>Közvetített szolgáltatások</t>
  </si>
  <si>
    <t>K352</t>
  </si>
  <si>
    <t>Fizetendő áfa</t>
  </si>
  <si>
    <t>K62</t>
  </si>
  <si>
    <t>K67</t>
  </si>
  <si>
    <t>Beruházási célú előzetesen felszámított Áfa</t>
  </si>
  <si>
    <t>031060 Bűnmegelőzés</t>
  </si>
  <si>
    <t>Polgárőr Egyesület támogatása</t>
  </si>
  <si>
    <t>032020 Tűz- és katasztrófavédelmi tevékenységek</t>
  </si>
  <si>
    <t>K1104</t>
  </si>
  <si>
    <t>Túlmunkadíj</t>
  </si>
  <si>
    <t>K21</t>
  </si>
  <si>
    <t>045160   Közutak, hidak,alagútak üzemeltetése, fenntartása</t>
  </si>
  <si>
    <t>K71</t>
  </si>
  <si>
    <t>K74</t>
  </si>
  <si>
    <t>Felújítási célú előzetesen felszámított Áfa</t>
  </si>
  <si>
    <t>K313</t>
  </si>
  <si>
    <t>Árubeszerzés</t>
  </si>
  <si>
    <t>K342</t>
  </si>
  <si>
    <t>Reklám és propaganda kiadások</t>
  </si>
  <si>
    <t>064010   Közvilágítás</t>
  </si>
  <si>
    <t>066010   Zöldterület kezelés</t>
  </si>
  <si>
    <t>K1109</t>
  </si>
  <si>
    <t>Közlekedési költségtérítés</t>
  </si>
  <si>
    <t>K122</t>
  </si>
  <si>
    <t>Egyéb jogviszonyban foglalkoztatottaknak fizetett juttatások</t>
  </si>
  <si>
    <t>K27</t>
  </si>
  <si>
    <t>072111   Háziorvosi alapellátás</t>
  </si>
  <si>
    <t>072112   Háziorvosi ügyeleti ellátás</t>
  </si>
  <si>
    <t>K1110</t>
  </si>
  <si>
    <t>Egyéb költségtérítések</t>
  </si>
  <si>
    <t>Külső személyi juttatás</t>
  </si>
  <si>
    <t>Munkavégzésre i.egyéb jogviszonyban foglalkoztat. fizetett jutt.</t>
  </si>
  <si>
    <t>081030  Sportlétesítmények működtetése</t>
  </si>
  <si>
    <t>081041    Versenysport és utánpótlás nevelési tevékenység és támogatása</t>
  </si>
  <si>
    <t>082042   Könyvtári állomány gyarapítása</t>
  </si>
  <si>
    <t>086030 Nemzetközi kulturális együttműködés</t>
  </si>
  <si>
    <t>Testvér városi-települési kiadások</t>
  </si>
  <si>
    <t>Ellátottak juttatásai</t>
  </si>
  <si>
    <t>107052   Házi segítségnyújtás</t>
  </si>
  <si>
    <t>107060   Egyéb szociális pénzbeli és természetbeni ellátások, támogatások</t>
  </si>
  <si>
    <t>K48</t>
  </si>
  <si>
    <t>Önkormányzat által saját hatáskörben nyújtott pénzügyi ellátás</t>
  </si>
  <si>
    <t>Települési támogatás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</si>
  <si>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</si>
  <si>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</si>
  <si>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</si>
  <si>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</si>
  <si>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018010  Önkormányzatok elszámolás a központi költségvetéssel</t>
  </si>
  <si>
    <t>018030  Támogatási célú finanszírozási műveletek</t>
  </si>
  <si>
    <t>013350   Az önkormányzati vagyonnal való gazdálkodással kapcs feladatok</t>
  </si>
  <si>
    <t>031060    Bűnmegelőlegezés</t>
  </si>
  <si>
    <t>032020   Tűz-és katasztrófavédelmi tevékenység</t>
  </si>
  <si>
    <t>061030    Lakáshoz jutást segítő támogatások</t>
  </si>
  <si>
    <t>081030   Sportlétesítmények működtetése</t>
  </si>
  <si>
    <t>081041   Versenysport és utánpótlás nevelési tevékenység és támogatása</t>
  </si>
  <si>
    <t>086030  Nemzetközi kultúrális együttműködés</t>
  </si>
  <si>
    <t>104051   Gyermekvédelmi pénzbeni és természetbeni ellátások</t>
  </si>
  <si>
    <t>106020 Lakásfenntartással, lakhatással összefüggő ellátások</t>
  </si>
  <si>
    <t>107051   Szociális étkeztetés</t>
  </si>
  <si>
    <t>Ft</t>
  </si>
  <si>
    <t xml:space="preserve">Kiemelt előirányzat </t>
  </si>
  <si>
    <t>Beruházás nettó összesen</t>
  </si>
  <si>
    <t>Beruházás  Áfa</t>
  </si>
  <si>
    <t>Beruházás Bruttó összesen</t>
  </si>
  <si>
    <t xml:space="preserve">Beruházások összesen              K6 össz.       </t>
  </si>
  <si>
    <t>Felújítások Nettó összesen:</t>
  </si>
  <si>
    <t>Felújítások Áfája</t>
  </si>
  <si>
    <t>Felújítások összesen                K7 össz.</t>
  </si>
  <si>
    <t>Felhalmozási kiadások összesen           (K6+K7 )</t>
  </si>
  <si>
    <t>Felhalmozási kiadások összesen     Bruttó</t>
  </si>
  <si>
    <t>2018.év</t>
  </si>
  <si>
    <t>Működési célú támogatások áh belülről</t>
  </si>
  <si>
    <t>Működési célú bevételek összesen</t>
  </si>
  <si>
    <t xml:space="preserve">Munkaadókat terhelő járulékok </t>
  </si>
  <si>
    <t>Működési célú kiadások összesen</t>
  </si>
  <si>
    <t>Finanszírozási bevételek összesen</t>
  </si>
  <si>
    <t>Finanszírozási kiadások összesen</t>
  </si>
  <si>
    <t>Felhalmozási célú támogatások államh belülről</t>
  </si>
  <si>
    <t>Felhalmozási célú bevételek összesen</t>
  </si>
  <si>
    <t>Felhalmozási célú kiadások összesen</t>
  </si>
  <si>
    <t>Civil szervezetek támogatása</t>
  </si>
  <si>
    <t>Temetési szolgáltatás</t>
  </si>
  <si>
    <t>Esküvői szolgáltatás</t>
  </si>
  <si>
    <t>Strand bevétel</t>
  </si>
  <si>
    <t>Könyvtári szolgáltatás</t>
  </si>
  <si>
    <t>Bérleti díj - piac</t>
  </si>
  <si>
    <t>047120 Piac üzemeltetése</t>
  </si>
  <si>
    <t>Informatikai szolgáltatások igénybevétele (internet díj, honlap)</t>
  </si>
  <si>
    <t>Egyéb kommunikációs szolgáltatások (telefondíj)</t>
  </si>
  <si>
    <t>K1102</t>
  </si>
  <si>
    <t>082061   Múzeumi gyűjteményi tevékenység</t>
  </si>
  <si>
    <t>082063   Múzeumi kiállítási tevékenység</t>
  </si>
  <si>
    <t>Normatív jutalom</t>
  </si>
  <si>
    <t>047120 Piac üzemeltetés</t>
  </si>
  <si>
    <t>ELMIB részvény vásárlás(önkorm.igazgatás)</t>
  </si>
  <si>
    <t>Egyéb tárgyi eszközök beszerzése</t>
  </si>
  <si>
    <t>K64</t>
  </si>
  <si>
    <t>047120   Piac üzemeltetés, fenntartás</t>
  </si>
  <si>
    <t>047120    Piac üzemeltetése, fenntartása</t>
  </si>
  <si>
    <t>Jutalom</t>
  </si>
  <si>
    <t>NEAK támogatás</t>
  </si>
  <si>
    <t xml:space="preserve">      NEAK támogatás védőnői szolgálat működéséhez</t>
  </si>
  <si>
    <t>Egyéb működési célú támogatás Önkormányzatnak</t>
  </si>
  <si>
    <t>Támogatás célú működési kiadás Közös Hivatalhoz</t>
  </si>
  <si>
    <t>Működési célú pénzeszköz átadás Tapolca Társulás</t>
  </si>
  <si>
    <t>Működési célú pénzeszköz átadás ,óvodai-iskolai busz bejárás támogatás</t>
  </si>
  <si>
    <t>Révfülöpi Óvoda Társulás támogatása</t>
  </si>
  <si>
    <t>Egyéb működési célú támogatás áh belülre Társulásnak</t>
  </si>
  <si>
    <t>Túlóra</t>
  </si>
  <si>
    <t>062020 Településfejlesztési projektek és támogatásuk</t>
  </si>
  <si>
    <t xml:space="preserve">Egyéb működési célú támogatások </t>
  </si>
  <si>
    <t xml:space="preserve">Foglalkoztatottak személyi juttatása </t>
  </si>
  <si>
    <t>062020    Területfejlesztési projektek és támogatások</t>
  </si>
  <si>
    <t>Eszköz beszerzés strand  (pályázat)</t>
  </si>
  <si>
    <t>B407</t>
  </si>
  <si>
    <t>B75</t>
  </si>
  <si>
    <t>Egyéb felhalmozási célú átvett pénzeszközök</t>
  </si>
  <si>
    <t>Általános forgalmi adó visszatérítése</t>
  </si>
  <si>
    <t>042120 Mezőgazdasági támogatások</t>
  </si>
  <si>
    <t>042120    Mezőgazdasági támogatások</t>
  </si>
  <si>
    <t>042120   Mezőgazdasági támogatások</t>
  </si>
  <si>
    <t>Ingatlan beszerzése, létesítése (Halász u. járdaépítés )</t>
  </si>
  <si>
    <t>Halász utca járdaépítés</t>
  </si>
  <si>
    <t>Fülöp-hegyi kilátó felújítás</t>
  </si>
  <si>
    <t xml:space="preserve">Ingatlanok felújítása </t>
  </si>
  <si>
    <t>K355</t>
  </si>
  <si>
    <t>Egyéb dologi kiadások</t>
  </si>
  <si>
    <t>Települési önk. Szociális feladatainek támogatása</t>
  </si>
  <si>
    <t>Intézményi gyermekétkeztetés támogatása</t>
  </si>
  <si>
    <t>B1132</t>
  </si>
  <si>
    <t>B1131</t>
  </si>
  <si>
    <t>066020 Város és községgazdálkodás</t>
  </si>
  <si>
    <t>B410</t>
  </si>
  <si>
    <t>Biztosító által fizetett kártérítés</t>
  </si>
  <si>
    <t>Tornaszoba kialakítása</t>
  </si>
  <si>
    <t>K63</t>
  </si>
  <si>
    <t>Informatikai eszközök beszerzése</t>
  </si>
  <si>
    <t>Strand fejlesztés (Kisfaludy pályázat)</t>
  </si>
  <si>
    <t>Informatikai eszközök beszerzése (Kisfaludy pályázat)</t>
  </si>
  <si>
    <t xml:space="preserve">ebből tartalék  </t>
  </si>
  <si>
    <t>Egyéb feladatok támogatása</t>
  </si>
  <si>
    <t>K502</t>
  </si>
  <si>
    <t>Helyi önkormányzat törvényi előíráson alapuló befizetések</t>
  </si>
  <si>
    <t>Ingatlan értékesítés</t>
  </si>
  <si>
    <t>IKSZT dohányzó asztal</t>
  </si>
  <si>
    <t>Teljesítés 2019.év</t>
  </si>
  <si>
    <t>Teljesítés     2020.év</t>
  </si>
  <si>
    <t>Teljesítés  2019.év</t>
  </si>
  <si>
    <t>Teljesítés   2020.év</t>
  </si>
  <si>
    <t>Ingatlanok felújítása (kilátó, rózsakert)</t>
  </si>
  <si>
    <t>Rózsakert kertépítészeti felújítás</t>
  </si>
  <si>
    <t>Város és község (láncfűrész stb.)</t>
  </si>
  <si>
    <t>Informatikai eszközök (nyomtató, router, egér, szerver stb. )</t>
  </si>
  <si>
    <t>B25</t>
  </si>
  <si>
    <t>Fejezet kezelésű előirányzattól (Óvodaépület korszerűsítés)</t>
  </si>
  <si>
    <t>Óvodaépület fűtéskorszerűsítés</t>
  </si>
  <si>
    <t>K711</t>
  </si>
  <si>
    <t>K712</t>
  </si>
  <si>
    <t>Ingatlanok felújítása (tornaszoba)</t>
  </si>
  <si>
    <t>Ingatlanok felújítása (óvodaépület korszerűsítés)</t>
  </si>
  <si>
    <t>Ingatlanok felújítása (Fürdő, Szeder, Kökény utca felújítás)</t>
  </si>
  <si>
    <t>Fürdő, Szeder, Kökény utca felújítás</t>
  </si>
  <si>
    <t>Fejezet kezelésű előirányzattól (Fürdő, Szeder, Kökény utca felújítása)</t>
  </si>
  <si>
    <t>Informatikai eszközök beszerzése (projektor)</t>
  </si>
  <si>
    <t>Projektor</t>
  </si>
  <si>
    <t>Közösségszervezési eszközök( hangfal állvánnyal, sörpadok, székeke, sátrak stb.)</t>
  </si>
  <si>
    <t>Ingatlanok felújítása (Turista utca)</t>
  </si>
  <si>
    <t>Turista utca felújítása</t>
  </si>
  <si>
    <t>B115</t>
  </si>
  <si>
    <t>Központi költségvetés fejlesztési támogatás</t>
  </si>
  <si>
    <t>Módosított előirányzat</t>
  </si>
  <si>
    <t>Költségvetési támogatások, kiegészítő támogatások</t>
  </si>
  <si>
    <t>062020   Településfejlesztési projektek és támogatások</t>
  </si>
  <si>
    <t>B116</t>
  </si>
  <si>
    <t>Helyi önkormányzatok előző évi elszámolása</t>
  </si>
  <si>
    <t xml:space="preserve">      Zártkerti pályázat</t>
  </si>
  <si>
    <t xml:space="preserve">      Helyi önkormányzatok előző évi elszámolása</t>
  </si>
  <si>
    <t>018010  Önkormányzatok elszámolásai központi költsgévetéssel</t>
  </si>
  <si>
    <t>K5021</t>
  </si>
  <si>
    <t>Helyi önkormányzatok előző évi elszámolásából származó kiadások</t>
  </si>
  <si>
    <t>Lakossági víz és csatorna pályázat átadása DRV-nek</t>
  </si>
  <si>
    <t>Közutak parabola tükrök</t>
  </si>
  <si>
    <t>Védőnő mobiltelefon</t>
  </si>
  <si>
    <t>B411</t>
  </si>
  <si>
    <t>Egyéb működési bevételek teljesítése</t>
  </si>
  <si>
    <t>Fejezet kezelésű előirányzattól ( Közösségi eszköz beszerzés)</t>
  </si>
  <si>
    <t>Fejezet kezelésű előirányzattól (Kommunális eszközök beszerzése)</t>
  </si>
  <si>
    <t>074031 Család és nővédelmi egészségügyi gondozás</t>
  </si>
  <si>
    <t>B975</t>
  </si>
  <si>
    <t>Felhalmozási célú bevételek ( egészségnap)</t>
  </si>
  <si>
    <t>Felhalmozási célú támogatások államháztartáson kívülről</t>
  </si>
  <si>
    <t xml:space="preserve">      Kulturális rendezvények támogatása</t>
  </si>
  <si>
    <t>Képújság szolgáltatás</t>
  </si>
  <si>
    <t>Egyéb tárgyi eszközök beszerzése (közösségszerzési, kommunális eszközök)</t>
  </si>
  <si>
    <t>Egyéb tárgyi eszközök (hivatal kávéfőző)</t>
  </si>
  <si>
    <t>K353</t>
  </si>
  <si>
    <t>Államháztartáson belüli kamatkiadások</t>
  </si>
  <si>
    <t>1. melléklet a ../2022.(..) önkormányzati rendelethez</t>
  </si>
  <si>
    <t>2. melléklet a ../2022 .(..) önkormányzati rendelethez</t>
  </si>
  <si>
    <t>3. melléklet a ../2022. (..) önkormányzati rendelethez</t>
  </si>
  <si>
    <t>4. melléklet a ../2022.(..) önkormányzati rendelethez</t>
  </si>
  <si>
    <t>5. melléklet a ../2022.(..)önkormányzati rendelethez</t>
  </si>
  <si>
    <t>6. melléklet  a ../2022.(..) önkormányzati rendelethez</t>
  </si>
  <si>
    <t>7.melléklet a .../2022.(...)önkormányzati rendelethez</t>
  </si>
  <si>
    <t>8. melléklet a ../2022.(..) önkormányzati rendelethez</t>
  </si>
  <si>
    <t>9. melléklet a ../2022.(..) önkormányzati rendelethez</t>
  </si>
  <si>
    <t>%</t>
  </si>
  <si>
    <t>Teljesítés    2021. év</t>
  </si>
  <si>
    <t>Teljesítés    2021.év</t>
  </si>
  <si>
    <t>2021. évi költségvetés bevételei</t>
  </si>
  <si>
    <t>2021. évi költségvetés  bevételei</t>
  </si>
  <si>
    <t xml:space="preserve">2021. évi költségvetés kiadásai </t>
  </si>
  <si>
    <t>2021. évi költségvetés  kiadásai</t>
  </si>
  <si>
    <t xml:space="preserve">2021.évi költségvetés felhalmozási kiadásai </t>
  </si>
  <si>
    <t>Tájékoztató adatok a  FELHALMOZÁSI bevételek és kiadások alakulásáról</t>
  </si>
  <si>
    <t>Tájékoztató adatok a MŰKÖDÉSI bevételek és kiadások alakulásáról</t>
  </si>
  <si>
    <t>10. melléklet a ../2022.(..) önkormányzati rendelethez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</si>
  <si>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</si>
  <si>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</si>
  <si>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</si>
  <si>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</si>
  <si>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</si>
  <si>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</si>
  <si>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</si>
  <si>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</si>
  <si>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</si>
  <si>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11. melléklet a ../2022.(..) önkormányzati rendelethez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</si>
  <si>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</si>
  <si>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</si>
  <si>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</si>
  <si>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</si>
  <si>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</si>
  <si>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</si>
  <si>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</si>
  <si>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</si>
  <si>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</si>
  <si>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</si>
  <si>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</si>
  <si>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</si>
  <si>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</si>
  <si>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</si>
  <si>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</si>
  <si>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</si>
  <si>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</si>
  <si>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</si>
  <si>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</si>
  <si>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</si>
  <si>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</si>
  <si>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</si>
  <si>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</si>
  <si>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</si>
  <si>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</si>
  <si>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Nyitó</t>
  </si>
  <si>
    <t>Záró</t>
  </si>
  <si>
    <t>12. melléklet a ../2022.(..) önkormányzati rendelethez</t>
  </si>
  <si>
    <t>Létszám fő (Tervezett átlagos statisztikai állományi létszám, éves)</t>
  </si>
  <si>
    <t>Normatív jutalmak, céljuttatás, projektprémium</t>
  </si>
  <si>
    <t>Készenléti, ügyeleti, helyettesítési díj, túlóra, túlszolgálat</t>
  </si>
  <si>
    <t>Végkielégítés, jubileumi jutalom</t>
  </si>
  <si>
    <t>Költségtérítések</t>
  </si>
  <si>
    <t>Támogatások</t>
  </si>
  <si>
    <t>Foglalkoztatottak egyéb személyi juttatásai</t>
  </si>
  <si>
    <t>"A", "B" fizetési osztály összesen</t>
  </si>
  <si>
    <t>"E" - "J" fizetési osztály összesen</t>
  </si>
  <si>
    <t>KÖZALKALMAZOTTAK ÖSSZESEN (=27+...+39)</t>
  </si>
  <si>
    <t>fizikai alkalmazott, a költségvetési szerveknél foglalkoztatott egyéb munkavállaló  (fizikai alkalmazott)</t>
  </si>
  <si>
    <t>EGYÉB FOGLALKOZTATOTTAK ÖSSZESEN (=74+…+80)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</si>
  <si>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</si>
  <si>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</si>
  <si>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</si>
  <si>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 (=82+...+92)</t>
  </si>
  <si>
    <t>FOGLALKOZTATOTTAK ÖSSZESEN (=26+40+51+57+62+67+73+81+93)</t>
  </si>
  <si>
    <t>13. melléklet a ../2022.(..) önkormányzati rendelethez</t>
  </si>
  <si>
    <t>Adatszolgáltatás a személyi juttatások és foglalkoztatottak, választott tisztségviselők összetételéről</t>
  </si>
  <si>
    <t>14. melléklet a ../2022.(..) önkormányzati rendelethez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</si>
  <si>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</si>
  <si>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</si>
  <si>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</si>
  <si>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</si>
  <si>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</si>
  <si>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</si>
  <si>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</si>
  <si>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</si>
  <si>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</si>
  <si>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</si>
  <si>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</si>
  <si>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</si>
  <si>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</si>
  <si>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</si>
  <si>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</si>
  <si>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</si>
  <si>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</si>
  <si>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</si>
  <si>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</si>
  <si>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</si>
  <si>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</si>
  <si>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</si>
  <si>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</si>
  <si>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Kimutatás az immateriális javak, tárgyi eszközök koncesszióba, vagyonkezelésbe adott eszközök állományának alakulásáról</t>
  </si>
  <si>
    <t>Központi költségvetés kultúrális támogatás</t>
  </si>
  <si>
    <t xml:space="preserve">2021. évi költségvetés  összevont mérlege </t>
  </si>
  <si>
    <t>Teljesítés 2021.12.31.</t>
  </si>
  <si>
    <t>Vagyonkimutatás</t>
  </si>
  <si>
    <t>Bruttó érték</t>
  </si>
  <si>
    <t>Nettó érték</t>
  </si>
  <si>
    <t xml:space="preserve">I. Immateriális javak </t>
  </si>
  <si>
    <t>Szellemi termékek</t>
  </si>
  <si>
    <t xml:space="preserve">II. Tárgyi eszközök  </t>
  </si>
  <si>
    <t>1. Ingatlanok és a kapcsolódó vagyoni értékű jogok</t>
  </si>
  <si>
    <t>Törzsvagyon</t>
  </si>
  <si>
    <t>Forgalomképtelen</t>
  </si>
  <si>
    <t>Korlátozottan forgalomképes</t>
  </si>
  <si>
    <t>Üzleti vagyon</t>
  </si>
  <si>
    <t>2. Gépek, berendezések, felszerelések, járművek</t>
  </si>
  <si>
    <t>3. Tenyészállatok</t>
  </si>
  <si>
    <t>4. Beruházások, felújítások</t>
  </si>
  <si>
    <t xml:space="preserve">III. Befektetett pénzügyi eszközök </t>
  </si>
  <si>
    <t xml:space="preserve">1. Tartós részesedések </t>
  </si>
  <si>
    <t>2. Tartós hitelviszonyt megtestesítő értékpapír</t>
  </si>
  <si>
    <t>6. Befektetett pénzügyi eszközök értékhelyesbítése</t>
  </si>
  <si>
    <t>IV. Koncesszióba, vagyonkezelésbe adott eszközök</t>
  </si>
  <si>
    <t xml:space="preserve">A) NEMZETI VAGYONBA TARTOZÓ BEFEKTETETT ESZKÖZÖK </t>
  </si>
  <si>
    <t xml:space="preserve">I. Készletek </t>
  </si>
  <si>
    <t>II. Értékpapírok</t>
  </si>
  <si>
    <t xml:space="preserve">B) NEMZETI VAGYONBA TARTOZÓ FORGÓESZKÖZÖK </t>
  </si>
  <si>
    <t xml:space="preserve">C) PÉNZESZKÖZÖK 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</si>
  <si>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</si>
  <si>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</si>
  <si>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</si>
  <si>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 xml:space="preserve">D) KÖVETELÉSEK  </t>
  </si>
  <si>
    <t>E) EGYÉB SAJÁTOS ESZKÖZOLDALI</t>
  </si>
  <si>
    <t>F) AKTÍV IDŐBELI ELHATÁROLÁSOK</t>
  </si>
  <si>
    <t xml:space="preserve">ESZKÖZÖK ÖSSZESEN </t>
  </si>
  <si>
    <t>I  Nemzeti vagyon induláskori értéke</t>
  </si>
  <si>
    <t>II. Nemzeti vagyon változásai</t>
  </si>
  <si>
    <t>III. Egyéb eszközök induláskori értéke és változásai</t>
  </si>
  <si>
    <t>IV. Felhalmozott eredmény</t>
  </si>
  <si>
    <t>VI. Mérleg szerinti eredmény</t>
  </si>
  <si>
    <t xml:space="preserve">G/ SAJÁT TŐKE 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</si>
  <si>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</si>
  <si>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</si>
  <si>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</si>
  <si>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</t>
  </si>
  <si>
    <t>I) EGYÉB SAJÁTOS FORRÁSOLDALI</t>
  </si>
  <si>
    <t>I. Eredményszemléletű bevételek passzív időbeli elhatárolása</t>
  </si>
  <si>
    <t>II. Költségek, ráfordítások passzív időbeli elhatárolása</t>
  </si>
  <si>
    <t>III. Halsztott eredményszemléletű bevételek</t>
  </si>
  <si>
    <t xml:space="preserve">J) PASSZÍV IDŐBELI ELHATÁROLÁSOK </t>
  </si>
  <si>
    <t xml:space="preserve">FORRÁSOK ÖSSZESEN </t>
  </si>
  <si>
    <t>2021. december 31</t>
  </si>
  <si>
    <t>Pénzmaradvány kimutatás</t>
  </si>
  <si>
    <t>2021.év</t>
  </si>
  <si>
    <t>Összeg</t>
  </si>
  <si>
    <t>Eredménykimutatás</t>
  </si>
  <si>
    <t>2021. év</t>
  </si>
  <si>
    <t>Bérleti díjak</t>
  </si>
  <si>
    <t>Teljesítés 2021.12031.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</si>
</sst>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yyyy\-mm\-dd"/>
    <numFmt numFmtId="167" formatCode="0.0%"/>
    <numFmt numFmtId="168" formatCode="_-* #,##0\ _F_t_-;\-* #,##0\ _F_t_-;_-* &quot;-&quot;??\ _F_t_-;_-@_-"/>
  </numFmts>
  <fonts count="50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>
        <color indexed="63"/>
      </right>
      <top>
        <color indexed="63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thin"/>
      <right style="medium"/>
      <top style="thin">
        <color indexed="59"/>
      </top>
      <bottom style="thin">
        <color indexed="5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>
        <color indexed="63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thin">
        <color indexed="59"/>
      </top>
      <bottom style="medium"/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medium"/>
    </border>
    <border>
      <left style="medium"/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medium"/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6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3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3" fontId="1" fillId="34" borderId="16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166" fontId="5" fillId="0" borderId="16" xfId="0" applyNumberFormat="1" applyFont="1" applyFill="1" applyBorder="1" applyAlignment="1">
      <alignment horizontal="left"/>
    </xf>
    <xf numFmtId="166" fontId="4" fillId="0" borderId="16" xfId="0" applyNumberFormat="1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3" fontId="3" fillId="34" borderId="16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left"/>
    </xf>
    <xf numFmtId="3" fontId="1" fillId="0" borderId="13" xfId="54" applyNumberFormat="1" applyFont="1" applyBorder="1">
      <alignment/>
      <protection/>
    </xf>
    <xf numFmtId="3" fontId="3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37" borderId="11" xfId="0" applyFont="1" applyFill="1" applyBorder="1" applyAlignment="1">
      <alignment/>
    </xf>
    <xf numFmtId="49" fontId="4" fillId="37" borderId="11" xfId="0" applyNumberFormat="1" applyFont="1" applyFill="1" applyBorder="1" applyAlignment="1">
      <alignment horizontal="left"/>
    </xf>
    <xf numFmtId="3" fontId="4" fillId="37" borderId="11" xfId="0" applyNumberFormat="1" applyFont="1" applyFill="1" applyBorder="1" applyAlignment="1">
      <alignment vertical="center"/>
    </xf>
    <xf numFmtId="0" fontId="1" fillId="38" borderId="0" xfId="0" applyFont="1" applyFill="1" applyAlignment="1">
      <alignment/>
    </xf>
    <xf numFmtId="3" fontId="5" fillId="37" borderId="11" xfId="0" applyNumberFormat="1" applyFont="1" applyFill="1" applyBorder="1" applyAlignment="1">
      <alignment vertical="center"/>
    </xf>
    <xf numFmtId="3" fontId="1" fillId="0" borderId="2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3" fillId="37" borderId="16" xfId="0" applyNumberFormat="1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" fontId="1" fillId="37" borderId="16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 vertical="center"/>
    </xf>
    <xf numFmtId="3" fontId="5" fillId="39" borderId="11" xfId="0" applyNumberFormat="1" applyFont="1" applyFill="1" applyBorder="1" applyAlignment="1">
      <alignment vertical="center"/>
    </xf>
    <xf numFmtId="3" fontId="3" fillId="37" borderId="11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1" fillId="0" borderId="23" xfId="0" applyFont="1" applyBorder="1" applyAlignment="1">
      <alignment/>
    </xf>
    <xf numFmtId="49" fontId="4" fillId="37" borderId="16" xfId="0" applyNumberFormat="1" applyFont="1" applyFill="1" applyBorder="1" applyAlignment="1">
      <alignment horizontal="left"/>
    </xf>
    <xf numFmtId="0" fontId="5" fillId="37" borderId="16" xfId="0" applyFont="1" applyFill="1" applyBorder="1" applyAlignment="1">
      <alignment horizontal="left"/>
    </xf>
    <xf numFmtId="3" fontId="4" fillId="37" borderId="16" xfId="0" applyNumberFormat="1" applyFont="1" applyFill="1" applyBorder="1" applyAlignment="1">
      <alignment/>
    </xf>
    <xf numFmtId="49" fontId="5" fillId="37" borderId="16" xfId="0" applyNumberFormat="1" applyFont="1" applyFill="1" applyBorder="1" applyAlignment="1">
      <alignment horizontal="left"/>
    </xf>
    <xf numFmtId="3" fontId="5" fillId="37" borderId="16" xfId="0" applyNumberFormat="1" applyFont="1" applyFill="1" applyBorder="1" applyAlignment="1">
      <alignment/>
    </xf>
    <xf numFmtId="0" fontId="4" fillId="37" borderId="11" xfId="0" applyFont="1" applyFill="1" applyBorder="1" applyAlignment="1">
      <alignment horizontal="left"/>
    </xf>
    <xf numFmtId="0" fontId="5" fillId="37" borderId="11" xfId="0" applyFont="1" applyFill="1" applyBorder="1" applyAlignment="1">
      <alignment horizontal="left"/>
    </xf>
    <xf numFmtId="3" fontId="1" fillId="37" borderId="11" xfId="0" applyNumberFormat="1" applyFont="1" applyFill="1" applyBorder="1" applyAlignment="1">
      <alignment/>
    </xf>
    <xf numFmtId="0" fontId="4" fillId="37" borderId="16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3" fillId="37" borderId="28" xfId="0" applyFont="1" applyFill="1" applyBorder="1" applyAlignment="1">
      <alignment horizontal="left"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1" fillId="37" borderId="16" xfId="0" applyFont="1" applyFill="1" applyBorder="1" applyAlignment="1">
      <alignment/>
    </xf>
    <xf numFmtId="0" fontId="4" fillId="37" borderId="25" xfId="0" applyFont="1" applyFill="1" applyBorder="1" applyAlignment="1">
      <alignment horizontal="left"/>
    </xf>
    <xf numFmtId="0" fontId="4" fillId="37" borderId="16" xfId="0" applyFont="1" applyFill="1" applyBorder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1" fillId="0" borderId="16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0" fontId="1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right" vertical="top" wrapText="1"/>
    </xf>
    <xf numFmtId="0" fontId="3" fillId="0" borderId="35" xfId="0" applyFont="1" applyBorder="1" applyAlignment="1">
      <alignment horizontal="left" vertical="top" wrapText="1"/>
    </xf>
    <xf numFmtId="3" fontId="3" fillId="0" borderId="36" xfId="0" applyNumberFormat="1" applyFont="1" applyBorder="1" applyAlignment="1">
      <alignment horizontal="right" vertical="top" wrapText="1"/>
    </xf>
    <xf numFmtId="0" fontId="3" fillId="0" borderId="37" xfId="0" applyFont="1" applyBorder="1" applyAlignment="1">
      <alignment horizontal="left" vertical="top" wrapText="1"/>
    </xf>
    <xf numFmtId="3" fontId="3" fillId="0" borderId="38" xfId="0" applyNumberFormat="1" applyFont="1" applyBorder="1" applyAlignment="1">
      <alignment horizontal="right" vertical="top" wrapText="1"/>
    </xf>
    <xf numFmtId="3" fontId="3" fillId="0" borderId="39" xfId="0" applyNumberFormat="1" applyFont="1" applyBorder="1" applyAlignment="1">
      <alignment horizontal="right" vertical="top" wrapText="1"/>
    </xf>
    <xf numFmtId="0" fontId="0" fillId="38" borderId="0" xfId="0" applyFill="1" applyAlignment="1">
      <alignment/>
    </xf>
    <xf numFmtId="3" fontId="12" fillId="0" borderId="16" xfId="0" applyNumberFormat="1" applyFont="1" applyBorder="1" applyAlignment="1">
      <alignment horizontal="right" vertical="top" wrapText="1"/>
    </xf>
    <xf numFmtId="3" fontId="13" fillId="0" borderId="16" xfId="0" applyNumberFormat="1" applyFont="1" applyBorder="1" applyAlignment="1">
      <alignment horizontal="right" vertical="top" wrapText="1"/>
    </xf>
    <xf numFmtId="0" fontId="3" fillId="38" borderId="32" xfId="0" applyFont="1" applyFill="1" applyBorder="1" applyAlignment="1">
      <alignment horizontal="center" vertical="top" wrapText="1"/>
    </xf>
    <xf numFmtId="0" fontId="3" fillId="38" borderId="33" xfId="0" applyFont="1" applyFill="1" applyBorder="1" applyAlignment="1">
      <alignment horizontal="center" vertical="top" wrapText="1"/>
    </xf>
    <xf numFmtId="0" fontId="3" fillId="38" borderId="34" xfId="0" applyFont="1" applyFill="1" applyBorder="1" applyAlignment="1">
      <alignment horizontal="center" vertical="top" wrapText="1"/>
    </xf>
    <xf numFmtId="0" fontId="12" fillId="0" borderId="35" xfId="0" applyFont="1" applyBorder="1" applyAlignment="1">
      <alignment horizontal="left" vertical="top" wrapText="1"/>
    </xf>
    <xf numFmtId="3" fontId="12" fillId="0" borderId="36" xfId="0" applyNumberFormat="1" applyFont="1" applyBorder="1" applyAlignment="1">
      <alignment horizontal="right" vertical="top" wrapText="1"/>
    </xf>
    <xf numFmtId="0" fontId="13" fillId="0" borderId="35" xfId="0" applyFont="1" applyBorder="1" applyAlignment="1">
      <alignment horizontal="left" vertical="top" wrapText="1"/>
    </xf>
    <xf numFmtId="3" fontId="13" fillId="0" borderId="36" xfId="0" applyNumberFormat="1" applyFont="1" applyBorder="1" applyAlignment="1">
      <alignment horizontal="right" vertical="top" wrapText="1"/>
    </xf>
    <xf numFmtId="0" fontId="13" fillId="0" borderId="37" xfId="0" applyFont="1" applyBorder="1" applyAlignment="1">
      <alignment horizontal="left" vertical="top" wrapText="1"/>
    </xf>
    <xf numFmtId="3" fontId="13" fillId="0" borderId="38" xfId="0" applyNumberFormat="1" applyFont="1" applyBorder="1" applyAlignment="1">
      <alignment horizontal="right" vertical="top" wrapText="1"/>
    </xf>
    <xf numFmtId="3" fontId="13" fillId="0" borderId="39" xfId="0" applyNumberFormat="1" applyFont="1" applyBorder="1" applyAlignment="1">
      <alignment horizontal="right" vertical="top" wrapText="1"/>
    </xf>
    <xf numFmtId="0" fontId="1" fillId="0" borderId="37" xfId="0" applyFont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right" vertical="top" wrapText="1"/>
    </xf>
    <xf numFmtId="3" fontId="1" fillId="0" borderId="39" xfId="0" applyNumberFormat="1" applyFont="1" applyBorder="1" applyAlignment="1">
      <alignment horizontal="right" vertical="top" wrapText="1"/>
    </xf>
    <xf numFmtId="9" fontId="3" fillId="33" borderId="40" xfId="61" applyFont="1" applyFill="1" applyBorder="1" applyAlignment="1">
      <alignment vertical="center"/>
    </xf>
    <xf numFmtId="0" fontId="4" fillId="37" borderId="23" xfId="0" applyFont="1" applyFill="1" applyBorder="1" applyAlignment="1">
      <alignment/>
    </xf>
    <xf numFmtId="9" fontId="3" fillId="0" borderId="40" xfId="61" applyFont="1" applyFill="1" applyBorder="1" applyAlignment="1">
      <alignment vertical="center"/>
    </xf>
    <xf numFmtId="9" fontId="1" fillId="0" borderId="40" xfId="61" applyFont="1" applyFill="1" applyBorder="1" applyAlignment="1">
      <alignment vertical="center"/>
    </xf>
    <xf numFmtId="9" fontId="3" fillId="33" borderId="40" xfId="61" applyFont="1" applyFill="1" applyBorder="1" applyAlignment="1">
      <alignment/>
    </xf>
    <xf numFmtId="0" fontId="0" fillId="0" borderId="0" xfId="0" applyBorder="1" applyAlignment="1">
      <alignment/>
    </xf>
    <xf numFmtId="167" fontId="3" fillId="33" borderId="40" xfId="61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9" fontId="3" fillId="33" borderId="36" xfId="61" applyFont="1" applyFill="1" applyBorder="1" applyAlignment="1">
      <alignment horizontal="right"/>
    </xf>
    <xf numFmtId="9" fontId="3" fillId="33" borderId="36" xfId="61" applyFont="1" applyFill="1" applyBorder="1" applyAlignment="1">
      <alignment/>
    </xf>
    <xf numFmtId="0" fontId="3" fillId="37" borderId="35" xfId="0" applyFont="1" applyFill="1" applyBorder="1" applyAlignment="1">
      <alignment horizontal="left"/>
    </xf>
    <xf numFmtId="0" fontId="3" fillId="37" borderId="41" xfId="0" applyFont="1" applyFill="1" applyBorder="1" applyAlignment="1">
      <alignment horizontal="left"/>
    </xf>
    <xf numFmtId="0" fontId="3" fillId="33" borderId="23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3" fontId="3" fillId="0" borderId="43" xfId="0" applyNumberFormat="1" applyFont="1" applyBorder="1" applyAlignment="1">
      <alignment/>
    </xf>
    <xf numFmtId="167" fontId="3" fillId="0" borderId="44" xfId="61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9" fontId="3" fillId="0" borderId="40" xfId="61" applyFont="1" applyBorder="1" applyAlignment="1">
      <alignment/>
    </xf>
    <xf numFmtId="9" fontId="1" fillId="0" borderId="40" xfId="6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0" xfId="0" applyNumberFormat="1" applyFont="1" applyFill="1" applyBorder="1" applyAlignment="1">
      <alignment/>
    </xf>
    <xf numFmtId="167" fontId="3" fillId="33" borderId="45" xfId="61" applyNumberFormat="1" applyFont="1" applyFill="1" applyBorder="1" applyAlignment="1">
      <alignment vertical="center"/>
    </xf>
    <xf numFmtId="0" fontId="3" fillId="37" borderId="23" xfId="0" applyFont="1" applyFill="1" applyBorder="1" applyAlignment="1">
      <alignment/>
    </xf>
    <xf numFmtId="3" fontId="5" fillId="0" borderId="40" xfId="0" applyNumberFormat="1" applyFont="1" applyFill="1" applyBorder="1" applyAlignment="1">
      <alignment vertical="center"/>
    </xf>
    <xf numFmtId="0" fontId="3" fillId="35" borderId="23" xfId="0" applyFont="1" applyFill="1" applyBorder="1" applyAlignment="1">
      <alignment/>
    </xf>
    <xf numFmtId="167" fontId="3" fillId="33" borderId="40" xfId="61" applyNumberFormat="1" applyFont="1" applyFill="1" applyBorder="1" applyAlignment="1">
      <alignment vertical="center"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167" fontId="3" fillId="33" borderId="44" xfId="61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8" fontId="0" fillId="0" borderId="0" xfId="46" applyNumberFormat="1" applyAlignment="1">
      <alignment horizontal="center"/>
    </xf>
    <xf numFmtId="168" fontId="0" fillId="0" borderId="0" xfId="46" applyNumberFormat="1" applyFont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168" fontId="3" fillId="0" borderId="34" xfId="46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36" xfId="46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6" xfId="46" applyNumberFormat="1" applyFont="1" applyBorder="1" applyAlignment="1">
      <alignment horizontal="center"/>
    </xf>
    <xf numFmtId="168" fontId="3" fillId="0" borderId="16" xfId="46" applyNumberFormat="1" applyFont="1" applyBorder="1" applyAlignment="1">
      <alignment horizontal="center"/>
    </xf>
    <xf numFmtId="168" fontId="3" fillId="0" borderId="36" xfId="46" applyNumberFormat="1" applyFont="1" applyBorder="1" applyAlignment="1">
      <alignment horizontal="center"/>
    </xf>
    <xf numFmtId="168" fontId="1" fillId="0" borderId="16" xfId="46" applyNumberFormat="1" applyFont="1" applyBorder="1" applyAlignment="1">
      <alignment horizontal="center"/>
    </xf>
    <xf numFmtId="168" fontId="1" fillId="0" borderId="36" xfId="46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8" fontId="3" fillId="0" borderId="3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3" fontId="3" fillId="0" borderId="39" xfId="0" applyNumberFormat="1" applyFont="1" applyBorder="1" applyAlignment="1">
      <alignment horizontal="center" vertical="top" wrapText="1"/>
    </xf>
    <xf numFmtId="9" fontId="3" fillId="33" borderId="36" xfId="61" applyFont="1" applyFill="1" applyBorder="1" applyAlignment="1">
      <alignment/>
    </xf>
    <xf numFmtId="0" fontId="4" fillId="0" borderId="35" xfId="0" applyFont="1" applyFill="1" applyBorder="1" applyAlignment="1">
      <alignment/>
    </xf>
    <xf numFmtId="9" fontId="3" fillId="0" borderId="36" xfId="61" applyFont="1" applyFill="1" applyBorder="1" applyAlignment="1">
      <alignment/>
    </xf>
    <xf numFmtId="0" fontId="5" fillId="0" borderId="35" xfId="0" applyFont="1" applyFill="1" applyBorder="1" applyAlignment="1">
      <alignment/>
    </xf>
    <xf numFmtId="9" fontId="1" fillId="0" borderId="36" xfId="6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8" fillId="0" borderId="35" xfId="0" applyFont="1" applyFill="1" applyBorder="1" applyAlignment="1">
      <alignment/>
    </xf>
    <xf numFmtId="166" fontId="4" fillId="0" borderId="35" xfId="0" applyNumberFormat="1" applyFont="1" applyFill="1" applyBorder="1" applyAlignment="1">
      <alignment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4" fillId="37" borderId="3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3" fontId="5" fillId="34" borderId="36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 horizontal="center"/>
    </xf>
    <xf numFmtId="0" fontId="3" fillId="0" borderId="35" xfId="0" applyFont="1" applyBorder="1" applyAlignment="1">
      <alignment/>
    </xf>
    <xf numFmtId="9" fontId="1" fillId="0" borderId="36" xfId="61" applyNumberFormat="1" applyFont="1" applyFill="1" applyBorder="1" applyAlignment="1">
      <alignment/>
    </xf>
    <xf numFmtId="0" fontId="1" fillId="0" borderId="46" xfId="0" applyFont="1" applyBorder="1" applyAlignment="1">
      <alignment/>
    </xf>
    <xf numFmtId="3" fontId="1" fillId="0" borderId="36" xfId="0" applyNumberFormat="1" applyFont="1" applyFill="1" applyBorder="1" applyAlignment="1">
      <alignment wrapText="1"/>
    </xf>
    <xf numFmtId="3" fontId="5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7" borderId="47" xfId="0" applyFont="1" applyFill="1" applyBorder="1" applyAlignment="1">
      <alignment horizontal="left"/>
    </xf>
    <xf numFmtId="0" fontId="5" fillId="33" borderId="35" xfId="0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/>
    </xf>
    <xf numFmtId="9" fontId="3" fillId="0" borderId="39" xfId="61" applyFont="1" applyFill="1" applyBorder="1" applyAlignment="1">
      <alignment/>
    </xf>
    <xf numFmtId="9" fontId="3" fillId="33" borderId="40" xfId="61" applyFont="1" applyFill="1" applyBorder="1" applyAlignment="1">
      <alignment horizontal="right"/>
    </xf>
    <xf numFmtId="0" fontId="5" fillId="0" borderId="23" xfId="0" applyFont="1" applyBorder="1" applyAlignment="1">
      <alignment/>
    </xf>
    <xf numFmtId="9" fontId="1" fillId="0" borderId="40" xfId="6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3" fontId="5" fillId="0" borderId="40" xfId="0" applyNumberFormat="1" applyFont="1" applyBorder="1" applyAlignment="1">
      <alignment/>
    </xf>
    <xf numFmtId="0" fontId="4" fillId="0" borderId="48" xfId="0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0" fontId="4" fillId="0" borderId="48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3" fontId="4" fillId="33" borderId="49" xfId="0" applyNumberFormat="1" applyFont="1" applyFill="1" applyBorder="1" applyAlignment="1">
      <alignment/>
    </xf>
    <xf numFmtId="9" fontId="3" fillId="33" borderId="44" xfId="61" applyFont="1" applyFill="1" applyBorder="1" applyAlignment="1">
      <alignment horizontal="right"/>
    </xf>
    <xf numFmtId="0" fontId="1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9" fontId="1" fillId="0" borderId="54" xfId="61" applyFont="1" applyBorder="1" applyAlignment="1">
      <alignment/>
    </xf>
    <xf numFmtId="0" fontId="1" fillId="0" borderId="53" xfId="0" applyFont="1" applyBorder="1" applyAlignment="1">
      <alignment wrapText="1"/>
    </xf>
    <xf numFmtId="0" fontId="1" fillId="36" borderId="53" xfId="0" applyFont="1" applyFill="1" applyBorder="1" applyAlignment="1">
      <alignment/>
    </xf>
    <xf numFmtId="9" fontId="1" fillId="36" borderId="54" xfId="61" applyFont="1" applyFill="1" applyBorder="1" applyAlignment="1">
      <alignment/>
    </xf>
    <xf numFmtId="3" fontId="1" fillId="0" borderId="54" xfId="0" applyNumberFormat="1" applyFont="1" applyBorder="1" applyAlignment="1">
      <alignment/>
    </xf>
    <xf numFmtId="0" fontId="3" fillId="33" borderId="53" xfId="0" applyFont="1" applyFill="1" applyBorder="1" applyAlignment="1">
      <alignment/>
    </xf>
    <xf numFmtId="9" fontId="3" fillId="33" borderId="54" xfId="61" applyFont="1" applyFill="1" applyBorder="1" applyAlignment="1">
      <alignment/>
    </xf>
    <xf numFmtId="0" fontId="3" fillId="0" borderId="53" xfId="0" applyFont="1" applyBorder="1" applyAlignment="1">
      <alignment/>
    </xf>
    <xf numFmtId="0" fontId="1" fillId="0" borderId="53" xfId="0" applyFont="1" applyBorder="1" applyAlignment="1">
      <alignment horizontal="left" wrapText="1"/>
    </xf>
    <xf numFmtId="0" fontId="1" fillId="36" borderId="55" xfId="0" applyFont="1" applyFill="1" applyBorder="1" applyAlignment="1">
      <alignment/>
    </xf>
    <xf numFmtId="3" fontId="1" fillId="36" borderId="56" xfId="0" applyNumberFormat="1" applyFont="1" applyFill="1" applyBorder="1" applyAlignment="1">
      <alignment/>
    </xf>
    <xf numFmtId="9" fontId="1" fillId="36" borderId="57" xfId="6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horizontal="right" vertical="top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61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62" xfId="0" applyFont="1" applyFill="1" applyBorder="1" applyAlignment="1">
      <alignment horizontal="left"/>
    </xf>
    <xf numFmtId="0" fontId="4" fillId="33" borderId="6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49" fontId="4" fillId="37" borderId="28" xfId="0" applyNumberFormat="1" applyFont="1" applyFill="1" applyBorder="1" applyAlignment="1">
      <alignment horizontal="left"/>
    </xf>
    <xf numFmtId="49" fontId="4" fillId="37" borderId="27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33" borderId="61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4" fillId="37" borderId="28" xfId="0" applyFont="1" applyFill="1" applyBorder="1" applyAlignment="1">
      <alignment horizontal="left"/>
    </xf>
    <xf numFmtId="0" fontId="4" fillId="37" borderId="27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0" fontId="5" fillId="37" borderId="27" xfId="0" applyFont="1" applyFill="1" applyBorder="1" applyAlignment="1">
      <alignment horizontal="left"/>
    </xf>
    <xf numFmtId="0" fontId="1" fillId="0" borderId="6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4" fillId="33" borderId="64" xfId="0" applyFont="1" applyFill="1" applyBorder="1" applyAlignment="1">
      <alignment horizontal="left"/>
    </xf>
    <xf numFmtId="0" fontId="4" fillId="33" borderId="47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33" borderId="66" xfId="0" applyFont="1" applyFill="1" applyBorder="1" applyAlignment="1">
      <alignment horizontal="left"/>
    </xf>
    <xf numFmtId="0" fontId="4" fillId="33" borderId="67" xfId="0" applyFont="1" applyFill="1" applyBorder="1" applyAlignment="1">
      <alignment horizontal="left"/>
    </xf>
    <xf numFmtId="0" fontId="4" fillId="33" borderId="68" xfId="0" applyFont="1" applyFill="1" applyBorder="1" applyAlignment="1">
      <alignment horizontal="left"/>
    </xf>
    <xf numFmtId="0" fontId="3" fillId="37" borderId="24" xfId="0" applyFont="1" applyFill="1" applyBorder="1" applyAlignment="1">
      <alignment horizontal="left"/>
    </xf>
    <xf numFmtId="0" fontId="3" fillId="37" borderId="25" xfId="0" applyFont="1" applyFill="1" applyBorder="1" applyAlignment="1">
      <alignment horizontal="left"/>
    </xf>
    <xf numFmtId="0" fontId="1" fillId="37" borderId="24" xfId="0" applyFont="1" applyFill="1" applyBorder="1" applyAlignment="1">
      <alignment horizontal="left"/>
    </xf>
    <xf numFmtId="0" fontId="1" fillId="37" borderId="26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37" borderId="10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5" borderId="28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74" xfId="0" applyFont="1" applyBorder="1" applyAlignment="1">
      <alignment horizontal="right"/>
    </xf>
    <xf numFmtId="0" fontId="1" fillId="0" borderId="7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76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4" fillId="0" borderId="82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3" fillId="0" borderId="75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3" fillId="0" borderId="84" xfId="54" applyFont="1" applyBorder="1" applyAlignment="1">
      <alignment horizontal="center" wrapText="1"/>
      <protection/>
    </xf>
    <xf numFmtId="0" fontId="3" fillId="0" borderId="85" xfId="54" applyFont="1" applyBorder="1" applyAlignment="1">
      <alignment horizontal="center" wrapText="1"/>
      <protection/>
    </xf>
    <xf numFmtId="0" fontId="3" fillId="0" borderId="8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3" fillId="0" borderId="12" xfId="54" applyFont="1" applyBorder="1" applyAlignment="1">
      <alignment horizontal="center" wrapText="1"/>
      <protection/>
    </xf>
    <xf numFmtId="0" fontId="3" fillId="0" borderId="13" xfId="54" applyFont="1" applyBorder="1" applyAlignment="1">
      <alignment horizontal="center" wrapText="1"/>
      <protection/>
    </xf>
    <xf numFmtId="0" fontId="3" fillId="0" borderId="16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54" applyAlignment="1">
      <alignment horizontal="right"/>
      <protection/>
    </xf>
    <xf numFmtId="0" fontId="1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4" fillId="38" borderId="0" xfId="0" applyFont="1" applyFill="1" applyAlignment="1">
      <alignment horizontal="center" vertical="top" wrapText="1"/>
    </xf>
    <xf numFmtId="0" fontId="0" fillId="38" borderId="0" xfId="0" applyFill="1" applyAlignment="1">
      <alignment/>
    </xf>
    <xf numFmtId="0" fontId="1" fillId="38" borderId="0" xfId="0" applyFont="1" applyFill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A23" sqref="A23:B23"/>
    </sheetView>
  </sheetViews>
  <sheetFormatPr defaultColWidth="9.140625" defaultRowHeight="12.75"/>
  <cols>
    <col min="1" max="1" width="7.28125" style="1" customWidth="1"/>
    <col min="2" max="2" width="50.7109375" style="1" customWidth="1"/>
    <col min="3" max="3" width="14.140625" style="1" customWidth="1"/>
    <col min="4" max="4" width="17.28125" style="1" customWidth="1"/>
    <col min="5" max="5" width="14.00390625" style="1" bestFit="1" customWidth="1"/>
    <col min="6" max="16384" width="9.140625" style="1" customWidth="1"/>
  </cols>
  <sheetData>
    <row r="1" spans="1:6" ht="15.75" customHeight="1">
      <c r="A1" s="339" t="s">
        <v>419</v>
      </c>
      <c r="B1" s="339"/>
      <c r="C1" s="339"/>
      <c r="D1" s="339"/>
      <c r="E1" s="339"/>
      <c r="F1" s="339"/>
    </row>
    <row r="2" spans="1:3" ht="15.75" customHeight="1">
      <c r="A2" s="2"/>
      <c r="B2" s="343"/>
      <c r="C2" s="343"/>
    </row>
    <row r="3" spans="1:6" ht="15.75" customHeight="1">
      <c r="A3" s="340" t="s">
        <v>0</v>
      </c>
      <c r="B3" s="340"/>
      <c r="C3" s="340"/>
      <c r="D3" s="340"/>
      <c r="E3" s="340"/>
      <c r="F3" s="340"/>
    </row>
    <row r="4" spans="1:6" ht="15.75" customHeight="1">
      <c r="A4" s="340" t="s">
        <v>522</v>
      </c>
      <c r="B4" s="340"/>
      <c r="C4" s="340"/>
      <c r="D4" s="340"/>
      <c r="E4" s="340"/>
      <c r="F4" s="340"/>
    </row>
    <row r="5" spans="1:3" ht="15.75" customHeight="1">
      <c r="A5" s="4"/>
      <c r="B5" s="4"/>
      <c r="C5" s="4"/>
    </row>
    <row r="6" spans="1:5" ht="15.75" customHeight="1" thickBot="1">
      <c r="A6" s="5"/>
      <c r="B6" s="5"/>
      <c r="C6" s="5"/>
      <c r="D6" s="46"/>
      <c r="E6" s="46" t="s">
        <v>281</v>
      </c>
    </row>
    <row r="7" spans="1:6" ht="15.75" customHeight="1">
      <c r="A7" s="344" t="s">
        <v>1</v>
      </c>
      <c r="B7" s="345"/>
      <c r="C7" s="348" t="s">
        <v>2</v>
      </c>
      <c r="D7" s="348" t="s">
        <v>392</v>
      </c>
      <c r="E7" s="335" t="s">
        <v>523</v>
      </c>
      <c r="F7" s="337" t="s">
        <v>428</v>
      </c>
    </row>
    <row r="8" spans="1:6" ht="15.75" customHeight="1">
      <c r="A8" s="346"/>
      <c r="B8" s="347"/>
      <c r="C8" s="349"/>
      <c r="D8" s="349"/>
      <c r="E8" s="336"/>
      <c r="F8" s="338"/>
    </row>
    <row r="9" spans="1:6" ht="15.75" customHeight="1">
      <c r="A9" s="341" t="s">
        <v>3</v>
      </c>
      <c r="B9" s="342"/>
      <c r="C9" s="6">
        <f>SUM(C10:C13)</f>
        <v>417739841</v>
      </c>
      <c r="D9" s="6">
        <f>SUM(D10:D13)</f>
        <v>451027587</v>
      </c>
      <c r="E9" s="6">
        <f>SUM(E10:E13)</f>
        <v>451544713</v>
      </c>
      <c r="F9" s="302">
        <f>E9/D9</f>
        <v>1.0011465507097685</v>
      </c>
    </row>
    <row r="10" spans="1:6" ht="15.75" customHeight="1">
      <c r="A10" s="303" t="s">
        <v>4</v>
      </c>
      <c r="B10" s="8" t="s">
        <v>5</v>
      </c>
      <c r="C10" s="9">
        <f>'2. Bevétel funkció'!F129</f>
        <v>99108746</v>
      </c>
      <c r="D10" s="9">
        <f>'2. Bevétel funkció'!G129</f>
        <v>123770106</v>
      </c>
      <c r="E10" s="9">
        <f>'2. Bevétel funkció'!H129</f>
        <v>123201054</v>
      </c>
      <c r="F10" s="304">
        <f>E10/D10</f>
        <v>0.995402346993223</v>
      </c>
    </row>
    <row r="11" spans="1:6" ht="15.75" customHeight="1">
      <c r="A11" s="303" t="s">
        <v>6</v>
      </c>
      <c r="B11" s="8" t="s">
        <v>7</v>
      </c>
      <c r="C11" s="9">
        <f>'2. Bevétel funkció'!F131</f>
        <v>121500000</v>
      </c>
      <c r="D11" s="9">
        <f>'2. Bevétel funkció'!G131</f>
        <v>137814182</v>
      </c>
      <c r="E11" s="9">
        <f>'2. Bevétel funkció'!H131</f>
        <v>138797062</v>
      </c>
      <c r="F11" s="304">
        <f>E11/D11</f>
        <v>1.0071319220252672</v>
      </c>
    </row>
    <row r="12" spans="1:6" ht="15.75" customHeight="1">
      <c r="A12" s="303" t="s">
        <v>8</v>
      </c>
      <c r="B12" s="8" t="s">
        <v>9</v>
      </c>
      <c r="C12" s="9">
        <f>'2. Bevétel funkció'!F132</f>
        <v>196931095</v>
      </c>
      <c r="D12" s="9">
        <f>'2. Bevétel funkció'!G132</f>
        <v>189243299</v>
      </c>
      <c r="E12" s="9">
        <f>'2. Bevétel funkció'!H132</f>
        <v>189486595</v>
      </c>
      <c r="F12" s="304">
        <f>E12/D12</f>
        <v>1.00128562544241</v>
      </c>
    </row>
    <row r="13" spans="1:6" ht="15.75" customHeight="1">
      <c r="A13" s="303" t="s">
        <v>10</v>
      </c>
      <c r="B13" s="8" t="s">
        <v>11</v>
      </c>
      <c r="C13" s="9">
        <f>'2. Bevétel funkció'!F134</f>
        <v>200000</v>
      </c>
      <c r="D13" s="9">
        <f>'2. Bevétel funkció'!G134</f>
        <v>200000</v>
      </c>
      <c r="E13" s="9">
        <f>'2. Bevétel funkció'!H134</f>
        <v>60002</v>
      </c>
      <c r="F13" s="304">
        <f>E13/D13</f>
        <v>0.30001</v>
      </c>
    </row>
    <row r="14" spans="1:6" ht="15.75" customHeight="1">
      <c r="A14" s="303"/>
      <c r="B14" s="8"/>
      <c r="C14" s="9"/>
      <c r="D14" s="9"/>
      <c r="E14" s="9"/>
      <c r="F14" s="305"/>
    </row>
    <row r="15" spans="1:6" ht="15.75" customHeight="1">
      <c r="A15" s="350" t="s">
        <v>12</v>
      </c>
      <c r="B15" s="351"/>
      <c r="C15" s="10">
        <f>SUM(C16:C18)</f>
        <v>13600000</v>
      </c>
      <c r="D15" s="10">
        <f>SUM(D16:D18)</f>
        <v>26327133</v>
      </c>
      <c r="E15" s="10">
        <f>SUM(E16:E18)</f>
        <v>26222101</v>
      </c>
      <c r="F15" s="302">
        <f>E15/D15</f>
        <v>0.9960105036883431</v>
      </c>
    </row>
    <row r="16" spans="1:6" ht="15.75" customHeight="1">
      <c r="A16" s="303" t="s">
        <v>13</v>
      </c>
      <c r="B16" s="7" t="s">
        <v>14</v>
      </c>
      <c r="C16" s="9">
        <f>'2. Bevétel funkció'!F130</f>
        <v>13000000</v>
      </c>
      <c r="D16" s="9">
        <f>'2. Bevétel funkció'!G130</f>
        <v>25446463</v>
      </c>
      <c r="E16" s="9">
        <f>'2. Bevétel funkció'!H130</f>
        <v>25353881</v>
      </c>
      <c r="F16" s="304">
        <f>E16/D16</f>
        <v>0.9963616947471245</v>
      </c>
    </row>
    <row r="17" spans="1:6" ht="15.75" customHeight="1">
      <c r="A17" s="303" t="s">
        <v>15</v>
      </c>
      <c r="B17" s="8" t="s">
        <v>16</v>
      </c>
      <c r="C17" s="11">
        <f>'2. Bevétel funkció'!F133</f>
        <v>600000</v>
      </c>
      <c r="D17" s="11">
        <f>'2. Bevétel funkció'!G133</f>
        <v>600000</v>
      </c>
      <c r="E17" s="11">
        <f>'2. Bevétel funkció'!H133</f>
        <v>587550</v>
      </c>
      <c r="F17" s="304">
        <f>E17/D17</f>
        <v>0.97925</v>
      </c>
    </row>
    <row r="18" spans="1:6" ht="15.75" customHeight="1">
      <c r="A18" s="303" t="s">
        <v>17</v>
      </c>
      <c r="B18" s="8" t="s">
        <v>18</v>
      </c>
      <c r="C18" s="11">
        <f>'2. Bevétel funkció'!F135</f>
        <v>0</v>
      </c>
      <c r="D18" s="11">
        <f>'2. Bevétel funkció'!G135</f>
        <v>280670</v>
      </c>
      <c r="E18" s="11">
        <f>'2. Bevétel funkció'!H135</f>
        <v>280670</v>
      </c>
      <c r="F18" s="304">
        <f>E18/D18</f>
        <v>1</v>
      </c>
    </row>
    <row r="19" spans="1:6" ht="15.75" customHeight="1">
      <c r="A19" s="306"/>
      <c r="B19" s="8"/>
      <c r="C19" s="11"/>
      <c r="D19" s="11"/>
      <c r="E19" s="11"/>
      <c r="F19" s="307"/>
    </row>
    <row r="20" spans="1:6" ht="15.75" customHeight="1">
      <c r="A20" s="350" t="s">
        <v>19</v>
      </c>
      <c r="B20" s="351"/>
      <c r="C20" s="10">
        <f>SUM(C21)</f>
        <v>186060229</v>
      </c>
      <c r="D20" s="10">
        <f>SUM(D21)</f>
        <v>178595971</v>
      </c>
      <c r="E20" s="10">
        <f>SUM(E21)</f>
        <v>178595971</v>
      </c>
      <c r="F20" s="302">
        <f>E20/D20</f>
        <v>1</v>
      </c>
    </row>
    <row r="21" spans="1:6" ht="15.75" customHeight="1">
      <c r="A21" s="303" t="s">
        <v>20</v>
      </c>
      <c r="B21" s="8" t="s">
        <v>19</v>
      </c>
      <c r="C21" s="11">
        <f>'2. Bevétel funkció'!F136</f>
        <v>186060229</v>
      </c>
      <c r="D21" s="11">
        <f>'2. Bevétel funkció'!G136</f>
        <v>178595971</v>
      </c>
      <c r="E21" s="11">
        <f>'2. Bevétel funkció'!H136</f>
        <v>178595971</v>
      </c>
      <c r="F21" s="304">
        <f>E21/D21</f>
        <v>1</v>
      </c>
    </row>
    <row r="22" spans="1:6" ht="15.75" customHeight="1">
      <c r="A22" s="303"/>
      <c r="B22" s="8"/>
      <c r="C22" s="11"/>
      <c r="D22" s="11"/>
      <c r="E22" s="11"/>
      <c r="F22" s="307"/>
    </row>
    <row r="23" spans="1:6" ht="15.75" customHeight="1">
      <c r="A23" s="350" t="s">
        <v>21</v>
      </c>
      <c r="B23" s="351"/>
      <c r="C23" s="10">
        <f>SUM(C9+C15+C20)</f>
        <v>617400070</v>
      </c>
      <c r="D23" s="10">
        <f>SUM(D9+D15+D20)</f>
        <v>655950691</v>
      </c>
      <c r="E23" s="10">
        <f>SUM(E9+E15+E20)</f>
        <v>656362785</v>
      </c>
      <c r="F23" s="302">
        <f>E23/D23</f>
        <v>1.0006282392955053</v>
      </c>
    </row>
    <row r="24" spans="1:6" ht="15.75" customHeight="1">
      <c r="A24" s="308"/>
      <c r="B24" s="12"/>
      <c r="C24" s="13"/>
      <c r="D24" s="13"/>
      <c r="E24" s="13"/>
      <c r="F24" s="309"/>
    </row>
    <row r="25" spans="1:6" ht="15.75" customHeight="1">
      <c r="A25" s="310"/>
      <c r="B25" s="14"/>
      <c r="C25" s="15"/>
      <c r="D25" s="15"/>
      <c r="E25" s="15"/>
      <c r="F25" s="311"/>
    </row>
    <row r="26" spans="1:6" ht="15.75" customHeight="1">
      <c r="A26" s="354" t="s">
        <v>22</v>
      </c>
      <c r="B26" s="355"/>
      <c r="C26" s="10">
        <f>SUM(C27:C31)</f>
        <v>453055791.758</v>
      </c>
      <c r="D26" s="10">
        <f>SUM(D27:D31)</f>
        <v>467193266.315</v>
      </c>
      <c r="E26" s="10">
        <f>SUM(E27:E31)</f>
        <v>374026747</v>
      </c>
      <c r="F26" s="302">
        <f>E26/D26</f>
        <v>0.8005824868798869</v>
      </c>
    </row>
    <row r="27" spans="1:6" ht="15.75" customHeight="1">
      <c r="A27" s="303" t="s">
        <v>23</v>
      </c>
      <c r="B27" s="17" t="s">
        <v>24</v>
      </c>
      <c r="C27" s="9">
        <f>'5.kiadás'!G481</f>
        <v>111082375.6</v>
      </c>
      <c r="D27" s="9">
        <f>'5.kiadás'!H481</f>
        <v>107712353</v>
      </c>
      <c r="E27" s="9">
        <f>'5.kiadás'!I481</f>
        <v>101930059</v>
      </c>
      <c r="F27" s="304">
        <f aca="true" t="shared" si="0" ref="F27:F35">E27/D27</f>
        <v>0.9463172622363937</v>
      </c>
    </row>
    <row r="28" spans="1:6" ht="15.75" customHeight="1">
      <c r="A28" s="303" t="s">
        <v>25</v>
      </c>
      <c r="B28" s="7" t="s">
        <v>26</v>
      </c>
      <c r="C28" s="9">
        <f>'5.kiadás'!G482</f>
        <v>17054142.158</v>
      </c>
      <c r="D28" s="9">
        <f>'5.kiadás'!H482</f>
        <v>16956213.314999998</v>
      </c>
      <c r="E28" s="9">
        <f>'5.kiadás'!I482</f>
        <v>14100949</v>
      </c>
      <c r="F28" s="304">
        <f t="shared" si="0"/>
        <v>0.8316095544472691</v>
      </c>
    </row>
    <row r="29" spans="1:6" ht="15.75" customHeight="1">
      <c r="A29" s="303" t="s">
        <v>27</v>
      </c>
      <c r="B29" s="8" t="s">
        <v>28</v>
      </c>
      <c r="C29" s="9">
        <f>'5.kiadás'!G483</f>
        <v>217356621</v>
      </c>
      <c r="D29" s="9">
        <f>'5.kiadás'!H483</f>
        <v>211080879</v>
      </c>
      <c r="E29" s="9">
        <f>'5.kiadás'!I483</f>
        <v>159855466</v>
      </c>
      <c r="F29" s="304">
        <f t="shared" si="0"/>
        <v>0.7573185537094528</v>
      </c>
    </row>
    <row r="30" spans="1:6" ht="15.75" customHeight="1">
      <c r="A30" s="303" t="s">
        <v>29</v>
      </c>
      <c r="B30" s="17" t="s">
        <v>30</v>
      </c>
      <c r="C30" s="9">
        <f>'5.kiadás'!G484</f>
        <v>5628000</v>
      </c>
      <c r="D30" s="9">
        <f>'5.kiadás'!H484</f>
        <v>5628000</v>
      </c>
      <c r="E30" s="9">
        <f>'5.kiadás'!I484</f>
        <v>4273234</v>
      </c>
      <c r="F30" s="304">
        <f t="shared" si="0"/>
        <v>0.7592810945273631</v>
      </c>
    </row>
    <row r="31" spans="1:6" ht="15.75" customHeight="1">
      <c r="A31" s="303" t="s">
        <v>31</v>
      </c>
      <c r="B31" s="17" t="s">
        <v>32</v>
      </c>
      <c r="C31" s="9">
        <f>'5.kiadás'!G485</f>
        <v>101934653</v>
      </c>
      <c r="D31" s="9">
        <f>'5.kiadás'!H485</f>
        <v>125815821</v>
      </c>
      <c r="E31" s="9">
        <f>'5.kiadás'!I485</f>
        <v>93867039</v>
      </c>
      <c r="F31" s="304">
        <f t="shared" si="0"/>
        <v>0.7460670546353626</v>
      </c>
    </row>
    <row r="32" spans="1:6" ht="15.75" customHeight="1">
      <c r="A32" s="303"/>
      <c r="B32" s="17" t="s">
        <v>361</v>
      </c>
      <c r="C32" s="9">
        <v>10000000</v>
      </c>
      <c r="D32" s="9">
        <v>26716587</v>
      </c>
      <c r="E32" s="9">
        <v>0</v>
      </c>
      <c r="F32" s="304">
        <f t="shared" si="0"/>
        <v>0</v>
      </c>
    </row>
    <row r="33" spans="1:6" ht="15.75" customHeight="1">
      <c r="A33" s="350" t="s">
        <v>33</v>
      </c>
      <c r="B33" s="351"/>
      <c r="C33" s="10">
        <f>SUM(C34:C36)</f>
        <v>157874213</v>
      </c>
      <c r="D33" s="10">
        <f>SUM(D34:D36)</f>
        <v>185287360</v>
      </c>
      <c r="E33" s="10">
        <f>SUM(E34:E36)</f>
        <v>182595121</v>
      </c>
      <c r="F33" s="302">
        <f>E33/D33</f>
        <v>0.9854699262809941</v>
      </c>
    </row>
    <row r="34" spans="1:6" ht="15.75" customHeight="1">
      <c r="A34" s="312" t="s">
        <v>34</v>
      </c>
      <c r="B34" s="17" t="s">
        <v>35</v>
      </c>
      <c r="C34" s="11">
        <f>'5.kiadás'!G486</f>
        <v>74708526</v>
      </c>
      <c r="D34" s="11">
        <f>'5.kiadás'!H486</f>
        <v>88139735</v>
      </c>
      <c r="E34" s="11">
        <f>'5.kiadás'!I486</f>
        <v>85652177</v>
      </c>
      <c r="F34" s="304">
        <f t="shared" si="0"/>
        <v>0.9717771105166132</v>
      </c>
    </row>
    <row r="35" spans="1:6" ht="15.75" customHeight="1">
      <c r="A35" s="312" t="s">
        <v>36</v>
      </c>
      <c r="B35" s="17" t="s">
        <v>37</v>
      </c>
      <c r="C35" s="11">
        <f>'5.kiadás'!G487</f>
        <v>83165687</v>
      </c>
      <c r="D35" s="11">
        <f>'5.kiadás'!H487</f>
        <v>97147625</v>
      </c>
      <c r="E35" s="11">
        <f>'5.kiadás'!I487</f>
        <v>96942944</v>
      </c>
      <c r="F35" s="304">
        <f t="shared" si="0"/>
        <v>0.9978930931147313</v>
      </c>
    </row>
    <row r="36" spans="1:6" ht="15.75" customHeight="1">
      <c r="A36" s="303" t="s">
        <v>38</v>
      </c>
      <c r="B36" s="7" t="s">
        <v>39</v>
      </c>
      <c r="C36" s="11">
        <f>'5.kiadás'!G488</f>
        <v>0</v>
      </c>
      <c r="D36" s="11">
        <f>'5.kiadás'!H488</f>
        <v>0</v>
      </c>
      <c r="E36" s="11">
        <f>'5.kiadás'!I488</f>
        <v>0</v>
      </c>
      <c r="F36" s="307">
        <f>'5.kiadás'!J488</f>
        <v>0</v>
      </c>
    </row>
    <row r="37" spans="1:6" ht="15.75" customHeight="1">
      <c r="A37" s="303"/>
      <c r="B37" s="7"/>
      <c r="C37" s="11"/>
      <c r="D37" s="11"/>
      <c r="E37" s="11"/>
      <c r="F37" s="307"/>
    </row>
    <row r="38" spans="1:6" ht="15.75" customHeight="1">
      <c r="A38" s="350" t="s">
        <v>40</v>
      </c>
      <c r="B38" s="351"/>
      <c r="C38" s="10">
        <f>SUM(C39)</f>
        <v>6470065</v>
      </c>
      <c r="D38" s="10">
        <f>SUM(D39)</f>
        <v>3470065</v>
      </c>
      <c r="E38" s="10">
        <f>SUM(E39)</f>
        <v>3470065</v>
      </c>
      <c r="F38" s="302">
        <f>E38/D38</f>
        <v>1</v>
      </c>
    </row>
    <row r="39" spans="1:6" ht="15.75" customHeight="1">
      <c r="A39" s="303" t="s">
        <v>41</v>
      </c>
      <c r="B39" s="7" t="s">
        <v>40</v>
      </c>
      <c r="C39" s="11">
        <f>'5.kiadás'!G489</f>
        <v>6470065</v>
      </c>
      <c r="D39" s="11">
        <f>'5.kiadás'!H489</f>
        <v>3470065</v>
      </c>
      <c r="E39" s="11">
        <f>'5.kiadás'!I489</f>
        <v>3470065</v>
      </c>
      <c r="F39" s="304">
        <f>E39/D39</f>
        <v>1</v>
      </c>
    </row>
    <row r="40" spans="1:6" ht="15.75" customHeight="1">
      <c r="A40" s="303"/>
      <c r="B40" s="7"/>
      <c r="C40" s="11"/>
      <c r="D40" s="11"/>
      <c r="E40" s="11"/>
      <c r="F40" s="307"/>
    </row>
    <row r="41" spans="1:6" ht="15.75" customHeight="1" thickBot="1">
      <c r="A41" s="352" t="s">
        <v>42</v>
      </c>
      <c r="B41" s="353"/>
      <c r="C41" s="313">
        <f>SUM(C33,C26,C38)</f>
        <v>617400069.758</v>
      </c>
      <c r="D41" s="313">
        <f>SUM(D33,D26,D38)</f>
        <v>655950691.315</v>
      </c>
      <c r="E41" s="313">
        <f>SUM(E33,E26,E38)</f>
        <v>560091933</v>
      </c>
      <c r="F41" s="314">
        <f>E41/D41</f>
        <v>0.8538628595347164</v>
      </c>
    </row>
  </sheetData>
  <sheetProtection selectLockedCells="1" selectUnlockedCells="1"/>
  <mergeCells count="17">
    <mergeCell ref="A38:B38"/>
    <mergeCell ref="A15:B15"/>
    <mergeCell ref="A20:B20"/>
    <mergeCell ref="A23:B23"/>
    <mergeCell ref="A33:B33"/>
    <mergeCell ref="A41:B41"/>
    <mergeCell ref="A26:B26"/>
    <mergeCell ref="E7:E8"/>
    <mergeCell ref="F7:F8"/>
    <mergeCell ref="A1:F1"/>
    <mergeCell ref="A3:F3"/>
    <mergeCell ref="A4:F4"/>
    <mergeCell ref="A9:B9"/>
    <mergeCell ref="B2:C2"/>
    <mergeCell ref="A7:B8"/>
    <mergeCell ref="C7:C8"/>
    <mergeCell ref="D7:D8"/>
  </mergeCells>
  <printOptions headings="1"/>
  <pageMargins left="0.25" right="0.25" top="0.75" bottom="0.75" header="0.5118055555555555" footer="0.5118055555555555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67"/>
  <sheetViews>
    <sheetView view="pageBreakPreview" zoomScale="60" zoomScalePageLayoutView="0" workbookViewId="0" topLeftCell="A49">
      <selection activeCell="C12" sqref="C12"/>
    </sheetView>
  </sheetViews>
  <sheetFormatPr defaultColWidth="9.140625" defaultRowHeight="12.75"/>
  <cols>
    <col min="1" max="1" width="50.00390625" style="0" customWidth="1"/>
    <col min="2" max="3" width="18.57421875" style="0" bestFit="1" customWidth="1"/>
    <col min="6" max="6" width="24.421875" style="0" customWidth="1"/>
    <col min="7" max="7" width="20.8515625" style="0" customWidth="1"/>
    <col min="8" max="8" width="22.421875" style="0" customWidth="1"/>
  </cols>
  <sheetData>
    <row r="1" spans="1:3" ht="15.75">
      <c r="A1" s="494" t="s">
        <v>438</v>
      </c>
      <c r="B1" s="494"/>
      <c r="C1" s="494"/>
    </row>
    <row r="2" spans="1:3" ht="15.75">
      <c r="A2" s="495"/>
      <c r="B2" s="495"/>
      <c r="C2" s="495"/>
    </row>
    <row r="3" spans="1:3" ht="15.75">
      <c r="A3" s="496" t="s">
        <v>0</v>
      </c>
      <c r="B3" s="496"/>
      <c r="C3" s="496"/>
    </row>
    <row r="4" spans="1:3" ht="15.75">
      <c r="A4" s="1"/>
      <c r="B4" s="248"/>
      <c r="C4" s="249"/>
    </row>
    <row r="5" spans="1:3" ht="15.75">
      <c r="A5" s="493" t="s">
        <v>524</v>
      </c>
      <c r="B5" s="493"/>
      <c r="C5" s="493"/>
    </row>
    <row r="6" spans="1:3" ht="15.75">
      <c r="A6" s="493" t="s">
        <v>571</v>
      </c>
      <c r="B6" s="493"/>
      <c r="C6" s="493"/>
    </row>
    <row r="7" spans="1:3" ht="16.5" thickBot="1">
      <c r="A7" s="248"/>
      <c r="B7" s="248"/>
      <c r="C7" s="250" t="s">
        <v>281</v>
      </c>
    </row>
    <row r="8" spans="1:8" ht="15.75">
      <c r="A8" s="251" t="s">
        <v>1</v>
      </c>
      <c r="B8" s="252" t="s">
        <v>525</v>
      </c>
      <c r="C8" s="253" t="s">
        <v>526</v>
      </c>
      <c r="F8" s="331"/>
      <c r="G8" s="332"/>
      <c r="H8" s="332"/>
    </row>
    <row r="9" spans="1:8" ht="29.25" customHeight="1">
      <c r="A9" s="195" t="s">
        <v>527</v>
      </c>
      <c r="B9" s="254">
        <v>0</v>
      </c>
      <c r="C9" s="255">
        <v>0</v>
      </c>
      <c r="F9" s="331"/>
      <c r="G9" s="332"/>
      <c r="H9" s="332"/>
    </row>
    <row r="10" spans="1:8" ht="15.75">
      <c r="A10" s="193" t="s">
        <v>528</v>
      </c>
      <c r="B10" s="256">
        <v>0</v>
      </c>
      <c r="C10" s="257">
        <v>0</v>
      </c>
      <c r="F10" s="331"/>
      <c r="G10" s="332"/>
      <c r="H10" s="332"/>
    </row>
    <row r="11" spans="1:8" ht="15.75">
      <c r="A11" s="195" t="s">
        <v>529</v>
      </c>
      <c r="B11" s="258">
        <f>B12+B17+B22+B24</f>
        <v>4227101441</v>
      </c>
      <c r="C11" s="259">
        <f>C12+C17+C22+C24</f>
        <v>3362982958</v>
      </c>
      <c r="F11" s="333"/>
      <c r="G11" s="334"/>
      <c r="H11" s="334"/>
    </row>
    <row r="12" spans="1:8" ht="31.5">
      <c r="A12" s="195" t="s">
        <v>530</v>
      </c>
      <c r="B12" s="258">
        <f>B13+B16</f>
        <v>3935716979</v>
      </c>
      <c r="C12" s="259">
        <f>C13+C16</f>
        <v>3235598152</v>
      </c>
      <c r="F12" s="331"/>
      <c r="G12" s="332"/>
      <c r="H12" s="332"/>
    </row>
    <row r="13" spans="1:8" ht="15.75">
      <c r="A13" s="195" t="s">
        <v>531</v>
      </c>
      <c r="B13" s="260">
        <f>SUM(B14:B15)</f>
        <v>3154757226</v>
      </c>
      <c r="C13" s="261">
        <f>SUM(C14:C15)</f>
        <v>2550579815</v>
      </c>
      <c r="F13" s="331"/>
      <c r="G13" s="332"/>
      <c r="H13" s="332"/>
    </row>
    <row r="14" spans="1:8" ht="15.75">
      <c r="A14" s="193" t="s">
        <v>532</v>
      </c>
      <c r="B14" s="260">
        <v>1470705569</v>
      </c>
      <c r="C14" s="260">
        <v>1107803272</v>
      </c>
      <c r="F14" s="333"/>
      <c r="G14" s="334"/>
      <c r="H14" s="334"/>
    </row>
    <row r="15" spans="1:8" ht="15.75">
      <c r="A15" s="193" t="s">
        <v>533</v>
      </c>
      <c r="B15" s="260">
        <f>1647551657+24500000+12000000</f>
        <v>1684051657</v>
      </c>
      <c r="C15" s="261">
        <v>1442776543</v>
      </c>
      <c r="F15" s="333"/>
      <c r="G15" s="334"/>
      <c r="H15" s="334"/>
    </row>
    <row r="16" spans="1:8" ht="15.75">
      <c r="A16" s="195" t="s">
        <v>534</v>
      </c>
      <c r="B16" s="258">
        <f>78058000+13146650+20664267+42190836+626900000</f>
        <v>780959753</v>
      </c>
      <c r="C16" s="259">
        <v>685018337</v>
      </c>
      <c r="F16" s="331"/>
      <c r="G16" s="332"/>
      <c r="H16" s="332"/>
    </row>
    <row r="17" spans="1:8" ht="31.5">
      <c r="A17" s="195" t="s">
        <v>535</v>
      </c>
      <c r="B17" s="258">
        <f>B18+B21</f>
        <v>259809394</v>
      </c>
      <c r="C17" s="258">
        <f>C18+C21</f>
        <v>95809738</v>
      </c>
      <c r="F17" s="333"/>
      <c r="G17" s="334"/>
      <c r="H17" s="334"/>
    </row>
    <row r="18" spans="1:8" ht="15.75">
      <c r="A18" s="195" t="s">
        <v>531</v>
      </c>
      <c r="B18" s="258">
        <f>SUM(B19:B20)</f>
        <v>12162930</v>
      </c>
      <c r="C18" s="259">
        <f>SUM(C19:C20)</f>
        <v>684440</v>
      </c>
      <c r="F18" s="333"/>
      <c r="G18" s="334"/>
      <c r="H18" s="334"/>
    </row>
    <row r="19" spans="1:8" ht="15.75">
      <c r="A19" s="193" t="s">
        <v>532</v>
      </c>
      <c r="B19" s="260">
        <v>0</v>
      </c>
      <c r="C19" s="261">
        <v>0</v>
      </c>
      <c r="F19" s="331"/>
      <c r="G19" s="332"/>
      <c r="H19" s="332"/>
    </row>
    <row r="20" spans="1:8" ht="15.75">
      <c r="A20" s="193" t="s">
        <v>533</v>
      </c>
      <c r="B20" s="260">
        <v>12162930</v>
      </c>
      <c r="C20" s="261">
        <v>684440</v>
      </c>
      <c r="F20" s="333"/>
      <c r="G20" s="334"/>
      <c r="H20" s="334"/>
    </row>
    <row r="21" spans="1:8" ht="15.75">
      <c r="A21" s="195" t="s">
        <v>534</v>
      </c>
      <c r="B21" s="258">
        <v>247646464</v>
      </c>
      <c r="C21" s="259">
        <v>95125298</v>
      </c>
      <c r="F21" s="331"/>
      <c r="G21" s="332"/>
      <c r="H21" s="332"/>
    </row>
    <row r="22" spans="1:8" ht="15.75">
      <c r="A22" s="195" t="s">
        <v>536</v>
      </c>
      <c r="B22" s="254">
        <f>SUM(B23)</f>
        <v>0</v>
      </c>
      <c r="C22" s="262">
        <f>SUM(C23)</f>
        <v>0</v>
      </c>
      <c r="F22" s="333"/>
      <c r="G22" s="334"/>
      <c r="H22" s="334"/>
    </row>
    <row r="23" spans="1:8" ht="15.75">
      <c r="A23" s="195" t="s">
        <v>534</v>
      </c>
      <c r="B23" s="256">
        <v>0</v>
      </c>
      <c r="C23" s="263">
        <v>0</v>
      </c>
      <c r="F23" s="333"/>
      <c r="G23" s="334"/>
      <c r="H23" s="334"/>
    </row>
    <row r="24" spans="1:8" ht="15.75">
      <c r="A24" s="195" t="s">
        <v>537</v>
      </c>
      <c r="B24" s="258">
        <f>SUM(B25:B26)</f>
        <v>31575068</v>
      </c>
      <c r="C24" s="259">
        <f>SUM(C25:C26)</f>
        <v>31575068</v>
      </c>
      <c r="F24" s="331"/>
      <c r="G24" s="332"/>
      <c r="H24" s="332"/>
    </row>
    <row r="25" spans="1:8" ht="15.75">
      <c r="A25" s="195" t="s">
        <v>35</v>
      </c>
      <c r="B25" s="261">
        <v>27719667</v>
      </c>
      <c r="C25" s="261">
        <v>27719667</v>
      </c>
      <c r="F25" s="331"/>
      <c r="G25" s="332"/>
      <c r="H25" s="332"/>
    </row>
    <row r="26" spans="1:8" ht="15.75">
      <c r="A26" s="195" t="s">
        <v>37</v>
      </c>
      <c r="B26" s="261">
        <v>3855401</v>
      </c>
      <c r="C26" s="261">
        <v>3855401</v>
      </c>
      <c r="F26" s="331"/>
      <c r="G26" s="332"/>
      <c r="H26" s="332"/>
    </row>
    <row r="27" spans="1:8" ht="15.75">
      <c r="A27" s="195" t="s">
        <v>538</v>
      </c>
      <c r="B27" s="254">
        <f>SUM(B28:B29)</f>
        <v>0</v>
      </c>
      <c r="C27" s="264">
        <f>C28</f>
        <v>51077542</v>
      </c>
      <c r="F27" s="331"/>
      <c r="G27" s="332"/>
      <c r="H27" s="332"/>
    </row>
    <row r="28" spans="1:8" ht="15.75">
      <c r="A28" s="193" t="s">
        <v>539</v>
      </c>
      <c r="B28" s="256">
        <f>SUM(B29:B30)</f>
        <v>0</v>
      </c>
      <c r="C28" s="261">
        <v>51077542</v>
      </c>
      <c r="F28" s="331"/>
      <c r="G28" s="332"/>
      <c r="H28" s="332"/>
    </row>
    <row r="29" spans="1:8" ht="15.75">
      <c r="A29" s="195" t="s">
        <v>531</v>
      </c>
      <c r="B29" s="254">
        <f>SUM(B30:B31)</f>
        <v>0</v>
      </c>
      <c r="C29" s="262">
        <f>SUM(C30:C31)</f>
        <v>0</v>
      </c>
      <c r="F29" s="331"/>
      <c r="G29" s="332"/>
      <c r="H29" s="332"/>
    </row>
    <row r="30" spans="1:8" ht="15.75">
      <c r="A30" s="193" t="s">
        <v>532</v>
      </c>
      <c r="B30" s="256">
        <v>0</v>
      </c>
      <c r="C30" s="263">
        <v>0</v>
      </c>
      <c r="F30" s="331"/>
      <c r="G30" s="332"/>
      <c r="H30" s="332"/>
    </row>
    <row r="31" spans="1:8" ht="15.75">
      <c r="A31" s="193" t="s">
        <v>533</v>
      </c>
      <c r="B31" s="256">
        <v>0</v>
      </c>
      <c r="C31" s="263">
        <v>0</v>
      </c>
      <c r="F31" s="331"/>
      <c r="G31" s="332"/>
      <c r="H31" s="332"/>
    </row>
    <row r="32" spans="1:8" ht="15.75">
      <c r="A32" s="195" t="s">
        <v>534</v>
      </c>
      <c r="B32" s="258">
        <v>50699542</v>
      </c>
      <c r="C32" s="259">
        <v>50699542</v>
      </c>
      <c r="F32" s="331"/>
      <c r="G32" s="332"/>
      <c r="H32" s="332"/>
    </row>
    <row r="33" spans="1:8" ht="15.75">
      <c r="A33" s="193" t="s">
        <v>540</v>
      </c>
      <c r="B33" s="256">
        <v>0</v>
      </c>
      <c r="C33" s="263">
        <v>0</v>
      </c>
      <c r="F33" s="331"/>
      <c r="G33" s="332"/>
      <c r="H33" s="332"/>
    </row>
    <row r="34" spans="1:8" ht="15.75">
      <c r="A34" s="193" t="s">
        <v>541</v>
      </c>
      <c r="B34" s="256">
        <v>0</v>
      </c>
      <c r="C34" s="263">
        <v>0</v>
      </c>
      <c r="F34" s="331"/>
      <c r="G34" s="332"/>
      <c r="H34" s="332"/>
    </row>
    <row r="35" spans="1:8" ht="16.5" customHeight="1">
      <c r="A35" s="195" t="s">
        <v>542</v>
      </c>
      <c r="B35" s="254">
        <v>0</v>
      </c>
      <c r="C35" s="262">
        <v>0</v>
      </c>
      <c r="F35" s="331"/>
      <c r="G35" s="332"/>
      <c r="H35" s="332"/>
    </row>
    <row r="36" spans="1:8" ht="15.75">
      <c r="A36" s="195" t="s">
        <v>531</v>
      </c>
      <c r="B36" s="256">
        <v>0</v>
      </c>
      <c r="C36" s="263">
        <v>0</v>
      </c>
      <c r="F36" s="331"/>
      <c r="G36" s="332"/>
      <c r="H36" s="332"/>
    </row>
    <row r="37" spans="1:8" ht="15.75">
      <c r="A37" s="193" t="s">
        <v>532</v>
      </c>
      <c r="B37" s="256">
        <v>0</v>
      </c>
      <c r="C37" s="263">
        <v>0</v>
      </c>
      <c r="F37" s="333"/>
      <c r="G37" s="334"/>
      <c r="H37" s="334"/>
    </row>
    <row r="38" spans="1:8" ht="15.75">
      <c r="A38" s="193" t="s">
        <v>533</v>
      </c>
      <c r="B38" s="256">
        <v>0</v>
      </c>
      <c r="C38" s="263">
        <v>0</v>
      </c>
      <c r="F38" s="331"/>
      <c r="G38" s="332"/>
      <c r="H38" s="332"/>
    </row>
    <row r="39" spans="1:8" ht="15.75">
      <c r="A39" s="195" t="s">
        <v>534</v>
      </c>
      <c r="B39" s="256">
        <v>0</v>
      </c>
      <c r="C39" s="263">
        <v>0</v>
      </c>
      <c r="F39" s="331"/>
      <c r="G39" s="332"/>
      <c r="H39" s="332"/>
    </row>
    <row r="40" spans="1:8" ht="31.5">
      <c r="A40" s="195" t="s">
        <v>543</v>
      </c>
      <c r="B40" s="187">
        <f>B9+B11+B27+B35</f>
        <v>4227101441</v>
      </c>
      <c r="C40" s="265">
        <f>C9+C11+C27+C35</f>
        <v>3414060500</v>
      </c>
      <c r="F40" s="331"/>
      <c r="G40" s="332"/>
      <c r="H40" s="332"/>
    </row>
    <row r="41" spans="1:8" ht="15.75">
      <c r="A41" s="193" t="s">
        <v>544</v>
      </c>
      <c r="B41" s="256">
        <v>0</v>
      </c>
      <c r="C41" s="261">
        <v>2445530</v>
      </c>
      <c r="F41" s="333"/>
      <c r="G41" s="334"/>
      <c r="H41" s="334"/>
    </row>
    <row r="42" spans="1:8" ht="15.75">
      <c r="A42" s="193" t="s">
        <v>545</v>
      </c>
      <c r="B42" s="256">
        <v>0</v>
      </c>
      <c r="C42" s="263">
        <v>0</v>
      </c>
      <c r="F42" s="333"/>
      <c r="G42" s="334"/>
      <c r="H42" s="334"/>
    </row>
    <row r="43" spans="1:8" ht="31.5">
      <c r="A43" s="195" t="s">
        <v>546</v>
      </c>
      <c r="B43" s="256">
        <v>0</v>
      </c>
      <c r="C43" s="265">
        <f>SUM(C41:C42)</f>
        <v>2445530</v>
      </c>
      <c r="F43" s="333"/>
      <c r="G43" s="334"/>
      <c r="H43" s="334"/>
    </row>
    <row r="44" spans="1:8" ht="15.75">
      <c r="A44" s="195" t="s">
        <v>547</v>
      </c>
      <c r="B44" s="256">
        <v>0</v>
      </c>
      <c r="C44" s="259">
        <v>119885701</v>
      </c>
      <c r="F44" s="331"/>
      <c r="G44" s="332"/>
      <c r="H44" s="332"/>
    </row>
    <row r="45" spans="1:8" ht="15.75">
      <c r="A45" s="193" t="s">
        <v>548</v>
      </c>
      <c r="B45" s="256">
        <v>0</v>
      </c>
      <c r="C45" s="261">
        <v>9066860</v>
      </c>
      <c r="F45" s="331"/>
      <c r="G45" s="332"/>
      <c r="H45" s="332"/>
    </row>
    <row r="46" spans="1:8" ht="15.75">
      <c r="A46" s="193" t="s">
        <v>549</v>
      </c>
      <c r="B46" s="256">
        <v>0</v>
      </c>
      <c r="C46" s="263">
        <v>0</v>
      </c>
      <c r="F46" s="331"/>
      <c r="G46" s="332"/>
      <c r="H46" s="332"/>
    </row>
    <row r="47" spans="1:8" ht="15.75">
      <c r="A47" s="193" t="s">
        <v>550</v>
      </c>
      <c r="B47" s="256">
        <v>0</v>
      </c>
      <c r="C47" s="261">
        <v>100000</v>
      </c>
      <c r="F47" s="331"/>
      <c r="G47" s="332"/>
      <c r="H47" s="332"/>
    </row>
    <row r="48" spans="1:8" ht="15.75">
      <c r="A48" s="195" t="s">
        <v>551</v>
      </c>
      <c r="B48" s="256">
        <v>0</v>
      </c>
      <c r="C48" s="265">
        <f>SUM(C45:C47)</f>
        <v>9166860</v>
      </c>
      <c r="F48" s="331"/>
      <c r="G48" s="332"/>
      <c r="H48" s="332"/>
    </row>
    <row r="49" spans="1:8" ht="15.75">
      <c r="A49" s="195" t="s">
        <v>552</v>
      </c>
      <c r="B49" s="256">
        <v>0</v>
      </c>
      <c r="C49" s="263">
        <v>0</v>
      </c>
      <c r="F49" s="333"/>
      <c r="G49" s="334"/>
      <c r="H49" s="334"/>
    </row>
    <row r="50" spans="1:8" ht="15.75">
      <c r="A50" s="195" t="s">
        <v>553</v>
      </c>
      <c r="B50" s="256">
        <v>0</v>
      </c>
      <c r="C50" s="263">
        <v>0</v>
      </c>
      <c r="F50" s="331"/>
      <c r="G50" s="332"/>
      <c r="H50" s="332"/>
    </row>
    <row r="51" spans="1:8" ht="15.75">
      <c r="A51" s="195" t="s">
        <v>554</v>
      </c>
      <c r="B51" s="265">
        <f>B40+B43+B44+B48+B49+B50</f>
        <v>4227101441</v>
      </c>
      <c r="C51" s="265">
        <f>C40+C43+C44+C48+C49+C50</f>
        <v>3545558591</v>
      </c>
      <c r="F51" s="331"/>
      <c r="G51" s="332"/>
      <c r="H51" s="332"/>
    </row>
    <row r="52" spans="1:8" ht="15.75">
      <c r="A52" s="193" t="s">
        <v>555</v>
      </c>
      <c r="B52" s="256">
        <v>0</v>
      </c>
      <c r="C52" s="266">
        <v>3055340369</v>
      </c>
      <c r="F52" s="331"/>
      <c r="G52" s="332"/>
      <c r="H52" s="332"/>
    </row>
    <row r="53" spans="1:8" ht="15.75">
      <c r="A53" s="193" t="s">
        <v>556</v>
      </c>
      <c r="B53" s="256">
        <v>0</v>
      </c>
      <c r="C53" s="266">
        <v>-61422506</v>
      </c>
      <c r="F53" s="333"/>
      <c r="G53" s="334"/>
      <c r="H53" s="334"/>
    </row>
    <row r="54" spans="1:8" ht="15.75">
      <c r="A54" s="193" t="s">
        <v>557</v>
      </c>
      <c r="B54" s="256">
        <v>0</v>
      </c>
      <c r="C54" s="266">
        <v>73733644</v>
      </c>
      <c r="F54" s="331"/>
      <c r="G54" s="332"/>
      <c r="H54" s="332"/>
    </row>
    <row r="55" spans="1:8" ht="15.75">
      <c r="A55" s="193" t="s">
        <v>558</v>
      </c>
      <c r="B55" s="256">
        <v>0</v>
      </c>
      <c r="C55" s="266">
        <v>-304789933</v>
      </c>
      <c r="F55" s="331"/>
      <c r="G55" s="332"/>
      <c r="H55" s="332"/>
    </row>
    <row r="56" spans="1:8" ht="15.75">
      <c r="A56" s="193" t="s">
        <v>559</v>
      </c>
      <c r="B56" s="256">
        <v>0</v>
      </c>
      <c r="C56" s="266">
        <v>741469059</v>
      </c>
      <c r="F56" s="333"/>
      <c r="G56" s="334"/>
      <c r="H56" s="334"/>
    </row>
    <row r="57" spans="1:8" ht="15.75">
      <c r="A57" s="195" t="s">
        <v>560</v>
      </c>
      <c r="B57" s="256">
        <v>0</v>
      </c>
      <c r="C57" s="265">
        <f>SUM(C52:C56)</f>
        <v>3504330633</v>
      </c>
      <c r="F57" s="331"/>
      <c r="G57" s="332"/>
      <c r="H57" s="332"/>
    </row>
    <row r="58" spans="1:8" ht="15.75">
      <c r="A58" s="193" t="s">
        <v>561</v>
      </c>
      <c r="B58" s="256">
        <v>0</v>
      </c>
      <c r="C58" s="265">
        <v>60063</v>
      </c>
      <c r="F58" s="331"/>
      <c r="G58" s="332"/>
      <c r="H58" s="332"/>
    </row>
    <row r="59" spans="1:8" ht="31.5">
      <c r="A59" s="193" t="s">
        <v>562</v>
      </c>
      <c r="B59" s="256">
        <v>0</v>
      </c>
      <c r="C59" s="265">
        <v>3005807</v>
      </c>
      <c r="F59" s="331"/>
      <c r="G59" s="332"/>
      <c r="H59" s="332"/>
    </row>
    <row r="60" spans="1:8" ht="15.75">
      <c r="A60" s="193" t="s">
        <v>563</v>
      </c>
      <c r="B60" s="256">
        <v>0</v>
      </c>
      <c r="C60" s="265">
        <v>23714849</v>
      </c>
      <c r="F60" s="333"/>
      <c r="G60" s="334"/>
      <c r="H60" s="334"/>
    </row>
    <row r="61" spans="1:8" ht="15.75">
      <c r="A61" s="195" t="s">
        <v>564</v>
      </c>
      <c r="B61" s="256">
        <v>0</v>
      </c>
      <c r="C61" s="265">
        <f>SUM(C58:C60)</f>
        <v>26780719</v>
      </c>
      <c r="F61" s="333"/>
      <c r="G61" s="334"/>
      <c r="H61" s="334"/>
    </row>
    <row r="62" spans="1:8" ht="15.75">
      <c r="A62" s="195" t="s">
        <v>565</v>
      </c>
      <c r="B62" s="256">
        <v>0</v>
      </c>
      <c r="C62" s="263">
        <v>0</v>
      </c>
      <c r="F62" s="331"/>
      <c r="G62" s="332"/>
      <c r="H62" s="332"/>
    </row>
    <row r="63" spans="1:8" ht="31.5">
      <c r="A63" s="193" t="s">
        <v>566</v>
      </c>
      <c r="B63" s="256">
        <v>0</v>
      </c>
      <c r="C63" s="263">
        <v>0</v>
      </c>
      <c r="F63" s="331"/>
      <c r="G63" s="332"/>
      <c r="H63" s="332"/>
    </row>
    <row r="64" spans="1:8" ht="31.5">
      <c r="A64" s="193" t="s">
        <v>567</v>
      </c>
      <c r="B64" s="256">
        <v>0</v>
      </c>
      <c r="C64" s="263">
        <v>0</v>
      </c>
      <c r="F64" s="333"/>
      <c r="G64" s="334"/>
      <c r="H64" s="334"/>
    </row>
    <row r="65" spans="1:8" ht="15.75">
      <c r="A65" s="193" t="s">
        <v>568</v>
      </c>
      <c r="B65" s="256">
        <v>0</v>
      </c>
      <c r="C65" s="263">
        <v>0</v>
      </c>
      <c r="F65" s="333"/>
      <c r="G65" s="334"/>
      <c r="H65" s="334"/>
    </row>
    <row r="66" spans="1:3" ht="15.75">
      <c r="A66" s="195" t="s">
        <v>569</v>
      </c>
      <c r="B66" s="256">
        <v>0</v>
      </c>
      <c r="C66" s="265">
        <v>14447239</v>
      </c>
    </row>
    <row r="67" spans="1:3" ht="16.5" thickBot="1">
      <c r="A67" s="197" t="s">
        <v>570</v>
      </c>
      <c r="B67" s="267">
        <v>0</v>
      </c>
      <c r="C67" s="268">
        <f>C66+C62+C61+C57</f>
        <v>3545558591</v>
      </c>
    </row>
  </sheetData>
  <sheetProtection/>
  <mergeCells count="5">
    <mergeCell ref="A5:C5"/>
    <mergeCell ref="A6:C6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view="pageBreakPreview" zoomScale="60" zoomScalePageLayoutView="0" workbookViewId="0" topLeftCell="A1">
      <selection activeCell="A5" sqref="A5:B5"/>
    </sheetView>
  </sheetViews>
  <sheetFormatPr defaultColWidth="9.140625" defaultRowHeight="12.75"/>
  <cols>
    <col min="1" max="1" width="36.7109375" style="0" customWidth="1"/>
    <col min="2" max="2" width="35.00390625" style="0" customWidth="1"/>
  </cols>
  <sheetData>
    <row r="1" spans="1:2" ht="15.75">
      <c r="A1" s="485" t="s">
        <v>448</v>
      </c>
      <c r="B1" s="485"/>
    </row>
    <row r="2" spans="1:2" ht="15.75">
      <c r="A2" s="20"/>
      <c r="B2" s="1"/>
    </row>
    <row r="3" spans="1:2" ht="15.75">
      <c r="A3" s="486" t="s">
        <v>0</v>
      </c>
      <c r="B3" s="486"/>
    </row>
    <row r="4" spans="1:2" ht="15.75">
      <c r="A4" s="181"/>
      <c r="B4" s="181"/>
    </row>
    <row r="5" spans="1:2" ht="15.75">
      <c r="A5" s="486" t="s">
        <v>572</v>
      </c>
      <c r="B5" s="486"/>
    </row>
    <row r="6" spans="1:2" ht="15.75">
      <c r="A6" s="493" t="s">
        <v>573</v>
      </c>
      <c r="B6" s="493"/>
    </row>
    <row r="7" spans="1:2" ht="15.75">
      <c r="A7" s="1"/>
      <c r="B7" s="1"/>
    </row>
    <row r="8" spans="1:2" ht="12.75">
      <c r="A8" s="497" t="s">
        <v>1</v>
      </c>
      <c r="B8" s="498" t="s">
        <v>574</v>
      </c>
    </row>
    <row r="9" spans="1:2" ht="12.75">
      <c r="A9" s="497"/>
      <c r="B9" s="498"/>
    </row>
    <row r="10" spans="1:2" ht="31.5">
      <c r="A10" s="182" t="s">
        <v>439</v>
      </c>
      <c r="B10" s="186">
        <v>477766814</v>
      </c>
    </row>
    <row r="11" spans="1:2" ht="31.5">
      <c r="A11" s="182" t="s">
        <v>440</v>
      </c>
      <c r="B11" s="186">
        <v>556621868</v>
      </c>
    </row>
    <row r="12" spans="1:2" ht="31.5">
      <c r="A12" s="184" t="s">
        <v>441</v>
      </c>
      <c r="B12" s="187">
        <v>-78855054</v>
      </c>
    </row>
    <row r="13" spans="1:2" ht="31.5">
      <c r="A13" s="182" t="s">
        <v>442</v>
      </c>
      <c r="B13" s="186">
        <v>178595971</v>
      </c>
    </row>
    <row r="14" spans="1:2" ht="31.5">
      <c r="A14" s="182" t="s">
        <v>443</v>
      </c>
      <c r="B14" s="186">
        <v>3470065</v>
      </c>
    </row>
    <row r="15" spans="1:2" ht="31.5">
      <c r="A15" s="184" t="s">
        <v>444</v>
      </c>
      <c r="B15" s="187">
        <v>175125906</v>
      </c>
    </row>
    <row r="16" spans="1:2" ht="31.5">
      <c r="A16" s="184" t="s">
        <v>445</v>
      </c>
      <c r="B16" s="187">
        <v>96270852</v>
      </c>
    </row>
    <row r="17" spans="1:2" ht="15.75">
      <c r="A17" s="184" t="s">
        <v>446</v>
      </c>
      <c r="B17" s="187">
        <v>96270852</v>
      </c>
    </row>
    <row r="18" spans="1:2" ht="31.5">
      <c r="A18" s="184" t="s">
        <v>447</v>
      </c>
      <c r="B18" s="187">
        <v>96270852</v>
      </c>
    </row>
  </sheetData>
  <sheetProtection/>
  <mergeCells count="6">
    <mergeCell ref="A1:B1"/>
    <mergeCell ref="A3:B3"/>
    <mergeCell ref="A5:B5"/>
    <mergeCell ref="A8:A9"/>
    <mergeCell ref="B8:B9"/>
    <mergeCell ref="A6:B6"/>
  </mergeCells>
  <printOptions headings="1"/>
  <pageMargins left="0.7" right="0.7" top="0.75" bottom="0.75" header="0.3" footer="0.3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60" zoomScalePageLayoutView="0" workbookViewId="0" topLeftCell="A1">
      <selection activeCell="E11" sqref="E11"/>
    </sheetView>
  </sheetViews>
  <sheetFormatPr defaultColWidth="9.140625" defaultRowHeight="12.75"/>
  <cols>
    <col min="1" max="1" width="40.421875" style="0" customWidth="1"/>
    <col min="2" max="2" width="18.421875" style="0" customWidth="1"/>
    <col min="3" max="3" width="18.7109375" style="0" customWidth="1"/>
  </cols>
  <sheetData>
    <row r="1" spans="1:3" ht="15.75">
      <c r="A1" s="485" t="s">
        <v>476</v>
      </c>
      <c r="B1" s="485"/>
      <c r="C1" s="485"/>
    </row>
    <row r="2" spans="1:2" ht="15.75">
      <c r="A2" s="20"/>
      <c r="B2" s="1"/>
    </row>
    <row r="3" spans="1:3" ht="15.75">
      <c r="A3" s="486" t="s">
        <v>0</v>
      </c>
      <c r="B3" s="486"/>
      <c r="C3" s="486"/>
    </row>
    <row r="4" spans="1:3" ht="15.75">
      <c r="A4" s="181"/>
      <c r="B4" s="181"/>
      <c r="C4" s="181"/>
    </row>
    <row r="5" spans="1:3" ht="15.75">
      <c r="A5" s="486" t="s">
        <v>575</v>
      </c>
      <c r="B5" s="486"/>
      <c r="C5" s="486"/>
    </row>
    <row r="6" spans="1:3" ht="15.75">
      <c r="A6" s="487" t="s">
        <v>576</v>
      </c>
      <c r="B6" s="487"/>
      <c r="C6" s="487"/>
    </row>
    <row r="7" spans="1:2" ht="16.5" thickBot="1">
      <c r="A7" s="1"/>
      <c r="B7" s="1"/>
    </row>
    <row r="8" spans="1:3" ht="27.75" customHeight="1">
      <c r="A8" s="190" t="s">
        <v>1</v>
      </c>
      <c r="B8" s="191" t="s">
        <v>474</v>
      </c>
      <c r="C8" s="192" t="s">
        <v>475</v>
      </c>
    </row>
    <row r="9" spans="1:3" ht="31.5">
      <c r="A9" s="193" t="s">
        <v>449</v>
      </c>
      <c r="B9" s="183">
        <v>105864536</v>
      </c>
      <c r="C9" s="194">
        <v>123322613</v>
      </c>
    </row>
    <row r="10" spans="1:3" ht="31.5">
      <c r="A10" s="193" t="s">
        <v>450</v>
      </c>
      <c r="B10" s="183">
        <v>115972609</v>
      </c>
      <c r="C10" s="194">
        <v>112063025</v>
      </c>
    </row>
    <row r="11" spans="1:3" ht="47.25">
      <c r="A11" s="195" t="s">
        <v>451</v>
      </c>
      <c r="B11" s="185">
        <v>221837145</v>
      </c>
      <c r="C11" s="196">
        <v>235385638</v>
      </c>
    </row>
    <row r="12" spans="1:3" ht="31.5">
      <c r="A12" s="193" t="s">
        <v>452</v>
      </c>
      <c r="B12" s="183">
        <v>105251253</v>
      </c>
      <c r="C12" s="194">
        <v>105412982</v>
      </c>
    </row>
    <row r="13" spans="1:3" ht="31.5">
      <c r="A13" s="193" t="s">
        <v>453</v>
      </c>
      <c r="B13" s="183">
        <v>17503485</v>
      </c>
      <c r="C13" s="194">
        <v>17635627</v>
      </c>
    </row>
    <row r="14" spans="1:3" ht="31.5">
      <c r="A14" s="193" t="s">
        <v>454</v>
      </c>
      <c r="B14" s="183">
        <v>62320245</v>
      </c>
      <c r="C14" s="194">
        <v>142351257</v>
      </c>
    </row>
    <row r="15" spans="1:3" ht="31.5">
      <c r="A15" s="193" t="s">
        <v>455</v>
      </c>
      <c r="B15" s="183">
        <v>23742898</v>
      </c>
      <c r="C15" s="194">
        <v>657312966</v>
      </c>
    </row>
    <row r="16" spans="1:3" ht="31.5">
      <c r="A16" s="195" t="s">
        <v>456</v>
      </c>
      <c r="B16" s="185">
        <v>208817881</v>
      </c>
      <c r="C16" s="196">
        <v>922712832</v>
      </c>
    </row>
    <row r="17" spans="1:3" ht="15.75">
      <c r="A17" s="193" t="s">
        <v>457</v>
      </c>
      <c r="B17" s="183">
        <v>19865747</v>
      </c>
      <c r="C17" s="194">
        <v>18073947</v>
      </c>
    </row>
    <row r="18" spans="1:3" ht="15.75">
      <c r="A18" s="193" t="s">
        <v>458</v>
      </c>
      <c r="B18" s="183">
        <v>72104951</v>
      </c>
      <c r="C18" s="194">
        <v>69609732</v>
      </c>
    </row>
    <row r="19" spans="1:3" ht="31.5">
      <c r="A19" s="193" t="s">
        <v>459</v>
      </c>
      <c r="B19" s="183">
        <v>1130114</v>
      </c>
      <c r="C19" s="194">
        <v>1771547</v>
      </c>
    </row>
    <row r="20" spans="1:3" ht="31.5">
      <c r="A20" s="195" t="s">
        <v>460</v>
      </c>
      <c r="B20" s="185">
        <v>93100812</v>
      </c>
      <c r="C20" s="196">
        <v>89455226</v>
      </c>
    </row>
    <row r="21" spans="1:3" ht="15.75">
      <c r="A21" s="193" t="s">
        <v>461</v>
      </c>
      <c r="B21" s="183">
        <v>73240608</v>
      </c>
      <c r="C21" s="194">
        <v>77804522</v>
      </c>
    </row>
    <row r="22" spans="1:3" ht="15.75">
      <c r="A22" s="193" t="s">
        <v>462</v>
      </c>
      <c r="B22" s="183">
        <v>31410622</v>
      </c>
      <c r="C22" s="194">
        <v>24205008</v>
      </c>
    </row>
    <row r="23" spans="1:3" ht="15.75">
      <c r="A23" s="193" t="s">
        <v>463</v>
      </c>
      <c r="B23" s="183">
        <v>18185893</v>
      </c>
      <c r="C23" s="194">
        <v>12951297</v>
      </c>
    </row>
    <row r="24" spans="1:3" ht="31.5">
      <c r="A24" s="195" t="s">
        <v>464</v>
      </c>
      <c r="B24" s="185">
        <v>122837123</v>
      </c>
      <c r="C24" s="196">
        <v>114960827</v>
      </c>
    </row>
    <row r="25" spans="1:3" ht="15.75">
      <c r="A25" s="195" t="s">
        <v>465</v>
      </c>
      <c r="B25" s="185">
        <v>66521978</v>
      </c>
      <c r="C25" s="196">
        <v>81255058</v>
      </c>
    </row>
    <row r="26" spans="1:3" ht="15.75">
      <c r="A26" s="195" t="s">
        <v>466</v>
      </c>
      <c r="B26" s="185">
        <v>113085097</v>
      </c>
      <c r="C26" s="196">
        <v>130956548</v>
      </c>
    </row>
    <row r="27" spans="1:3" ht="47.25">
      <c r="A27" s="195" t="s">
        <v>467</v>
      </c>
      <c r="B27" s="185">
        <v>35110016</v>
      </c>
      <c r="C27" s="196">
        <v>741470811</v>
      </c>
    </row>
    <row r="28" spans="1:3" ht="31.5">
      <c r="A28" s="193" t="s">
        <v>468</v>
      </c>
      <c r="B28" s="183">
        <v>102</v>
      </c>
      <c r="C28" s="194">
        <v>121</v>
      </c>
    </row>
    <row r="29" spans="1:3" ht="47.25">
      <c r="A29" s="195" t="s">
        <v>469</v>
      </c>
      <c r="B29" s="185">
        <v>102</v>
      </c>
      <c r="C29" s="196">
        <v>121</v>
      </c>
    </row>
    <row r="30" spans="1:3" ht="31.5">
      <c r="A30" s="193" t="s">
        <v>470</v>
      </c>
      <c r="B30" s="183">
        <v>7037</v>
      </c>
      <c r="C30" s="194">
        <v>1873</v>
      </c>
    </row>
    <row r="31" spans="1:3" ht="31.5">
      <c r="A31" s="195" t="s">
        <v>471</v>
      </c>
      <c r="B31" s="185">
        <v>7037</v>
      </c>
      <c r="C31" s="196">
        <v>1873</v>
      </c>
    </row>
    <row r="32" spans="1:3" ht="31.5">
      <c r="A32" s="195" t="s">
        <v>472</v>
      </c>
      <c r="B32" s="185">
        <v>-6935</v>
      </c>
      <c r="C32" s="196">
        <v>-1752</v>
      </c>
    </row>
    <row r="33" spans="1:3" ht="32.25" thickBot="1">
      <c r="A33" s="197" t="s">
        <v>473</v>
      </c>
      <c r="B33" s="198">
        <v>35103081</v>
      </c>
      <c r="C33" s="199">
        <v>741469059</v>
      </c>
    </row>
  </sheetData>
  <sheetProtection/>
  <mergeCells count="4">
    <mergeCell ref="A1:C1"/>
    <mergeCell ref="A3:C3"/>
    <mergeCell ref="A5:C5"/>
    <mergeCell ref="A6:C6"/>
  </mergeCells>
  <printOptions headings="1"/>
  <pageMargins left="0.7" right="0.7" top="0.75" bottom="0.75" header="0.3" footer="0.3"/>
  <pageSetup horizontalDpi="360" verticalDpi="36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60" zoomScalePageLayoutView="0" workbookViewId="0" topLeftCell="A1">
      <selection activeCell="A1" sqref="A1:K3"/>
    </sheetView>
  </sheetViews>
  <sheetFormatPr defaultColWidth="9.140625" defaultRowHeight="12.75"/>
  <cols>
    <col min="1" max="1" width="28.140625" style="0" customWidth="1"/>
    <col min="2" max="2" width="16.140625" style="0" customWidth="1"/>
    <col min="3" max="3" width="15.140625" style="0" customWidth="1"/>
    <col min="4" max="4" width="16.8515625" style="0" customWidth="1"/>
    <col min="5" max="5" width="15.8515625" style="0" customWidth="1"/>
    <col min="6" max="6" width="10.7109375" style="0" customWidth="1"/>
    <col min="7" max="7" width="10.57421875" style="0" customWidth="1"/>
    <col min="8" max="10" width="9.28125" style="0" bestFit="1" customWidth="1"/>
    <col min="11" max="11" width="13.7109375" style="0" customWidth="1"/>
  </cols>
  <sheetData>
    <row r="1" spans="1:11" ht="15.75">
      <c r="A1" s="485" t="s">
        <v>494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1:2" ht="15.75">
      <c r="A2" s="20"/>
      <c r="B2" s="1"/>
    </row>
    <row r="3" spans="1:11" ht="15.75">
      <c r="A3" s="486" t="s">
        <v>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ht="15.75">
      <c r="A4" s="487" t="s">
        <v>495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</row>
    <row r="5" spans="1:11" ht="15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15.75" thickBot="1">
      <c r="A6" s="499"/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</row>
    <row r="7" spans="1:12" ht="110.25">
      <c r="A7" s="203" t="s">
        <v>1</v>
      </c>
      <c r="B7" s="204" t="s">
        <v>477</v>
      </c>
      <c r="C7" s="204" t="s">
        <v>154</v>
      </c>
      <c r="D7" s="204" t="s">
        <v>478</v>
      </c>
      <c r="E7" s="204" t="s">
        <v>479</v>
      </c>
      <c r="F7" s="204" t="s">
        <v>480</v>
      </c>
      <c r="G7" s="204" t="s">
        <v>156</v>
      </c>
      <c r="H7" s="204" t="s">
        <v>481</v>
      </c>
      <c r="I7" s="204" t="s">
        <v>482</v>
      </c>
      <c r="J7" s="204" t="s">
        <v>483</v>
      </c>
      <c r="K7" s="205" t="s">
        <v>160</v>
      </c>
      <c r="L7" s="200"/>
    </row>
    <row r="8" spans="1:11" ht="12.75">
      <c r="A8" s="206" t="s">
        <v>484</v>
      </c>
      <c r="B8" s="201">
        <v>3</v>
      </c>
      <c r="C8" s="201">
        <v>7488781</v>
      </c>
      <c r="D8" s="201">
        <v>359314</v>
      </c>
      <c r="E8" s="201">
        <v>794968</v>
      </c>
      <c r="F8" s="201">
        <v>0</v>
      </c>
      <c r="G8" s="201">
        <v>521739</v>
      </c>
      <c r="H8" s="201">
        <v>71280</v>
      </c>
      <c r="I8" s="201">
        <v>0</v>
      </c>
      <c r="J8" s="201">
        <v>42800</v>
      </c>
      <c r="K8" s="207">
        <v>0</v>
      </c>
    </row>
    <row r="9" spans="1:11" ht="12.75">
      <c r="A9" s="206" t="s">
        <v>485</v>
      </c>
      <c r="B9" s="201">
        <v>1</v>
      </c>
      <c r="C9" s="201">
        <v>6305622</v>
      </c>
      <c r="D9" s="201">
        <v>150000</v>
      </c>
      <c r="E9" s="201">
        <v>0</v>
      </c>
      <c r="F9" s="201">
        <v>0</v>
      </c>
      <c r="G9" s="201">
        <v>173913</v>
      </c>
      <c r="H9" s="201">
        <v>20000</v>
      </c>
      <c r="I9" s="201">
        <v>0</v>
      </c>
      <c r="J9" s="201">
        <v>0</v>
      </c>
      <c r="K9" s="207">
        <v>0</v>
      </c>
    </row>
    <row r="10" spans="1:11" ht="25.5">
      <c r="A10" s="208" t="s">
        <v>486</v>
      </c>
      <c r="B10" s="202">
        <v>4</v>
      </c>
      <c r="C10" s="202">
        <v>13794403</v>
      </c>
      <c r="D10" s="202">
        <v>509314</v>
      </c>
      <c r="E10" s="202">
        <v>794968</v>
      </c>
      <c r="F10" s="202">
        <v>0</v>
      </c>
      <c r="G10" s="202">
        <v>695652</v>
      </c>
      <c r="H10" s="202">
        <v>91280</v>
      </c>
      <c r="I10" s="202">
        <v>0</v>
      </c>
      <c r="J10" s="202">
        <v>42800</v>
      </c>
      <c r="K10" s="209">
        <v>0</v>
      </c>
    </row>
    <row r="11" spans="1:11" ht="38.25">
      <c r="A11" s="206" t="s">
        <v>487</v>
      </c>
      <c r="B11" s="201">
        <v>22</v>
      </c>
      <c r="C11" s="201">
        <v>57239978</v>
      </c>
      <c r="D11" s="201">
        <v>2555396</v>
      </c>
      <c r="E11" s="201">
        <v>2830992</v>
      </c>
      <c r="F11" s="201">
        <v>0</v>
      </c>
      <c r="G11" s="201">
        <v>3578187</v>
      </c>
      <c r="H11" s="201">
        <v>436991</v>
      </c>
      <c r="I11" s="201">
        <v>0</v>
      </c>
      <c r="J11" s="201">
        <v>1324223</v>
      </c>
      <c r="K11" s="207">
        <v>0</v>
      </c>
    </row>
    <row r="12" spans="1:11" ht="38.25">
      <c r="A12" s="208" t="s">
        <v>488</v>
      </c>
      <c r="B12" s="202">
        <v>22</v>
      </c>
      <c r="C12" s="202">
        <v>57239978</v>
      </c>
      <c r="D12" s="202">
        <v>2555396</v>
      </c>
      <c r="E12" s="202">
        <v>2830992</v>
      </c>
      <c r="F12" s="202">
        <v>0</v>
      </c>
      <c r="G12" s="202">
        <v>3578187</v>
      </c>
      <c r="H12" s="202">
        <v>436991</v>
      </c>
      <c r="I12" s="202">
        <v>0</v>
      </c>
      <c r="J12" s="202">
        <v>1324223</v>
      </c>
      <c r="K12" s="209">
        <v>0</v>
      </c>
    </row>
    <row r="13" spans="1:11" ht="12.75">
      <c r="A13" s="206" t="s">
        <v>489</v>
      </c>
      <c r="B13" s="201">
        <v>1</v>
      </c>
      <c r="C13" s="201">
        <v>0</v>
      </c>
      <c r="D13" s="201">
        <v>0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7">
        <v>5678673</v>
      </c>
    </row>
    <row r="14" spans="1:11" ht="38.25">
      <c r="A14" s="206" t="s">
        <v>490</v>
      </c>
      <c r="B14" s="201">
        <v>5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7">
        <v>3357000</v>
      </c>
    </row>
    <row r="15" spans="1:11" ht="38.25">
      <c r="A15" s="206" t="s">
        <v>491</v>
      </c>
      <c r="B15" s="201">
        <v>1</v>
      </c>
      <c r="C15" s="201">
        <v>0</v>
      </c>
      <c r="D15" s="201">
        <v>0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7">
        <v>1656000</v>
      </c>
    </row>
    <row r="16" spans="1:11" ht="38.25">
      <c r="A16" s="208" t="s">
        <v>492</v>
      </c>
      <c r="B16" s="202">
        <v>7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9">
        <v>10691673</v>
      </c>
    </row>
    <row r="17" spans="1:11" ht="51.75" thickBot="1">
      <c r="A17" s="210" t="s">
        <v>493</v>
      </c>
      <c r="B17" s="211">
        <v>33</v>
      </c>
      <c r="C17" s="211">
        <v>71034381</v>
      </c>
      <c r="D17" s="211">
        <v>3064710</v>
      </c>
      <c r="E17" s="211">
        <v>3625960</v>
      </c>
      <c r="F17" s="211">
        <v>0</v>
      </c>
      <c r="G17" s="211">
        <v>4273839</v>
      </c>
      <c r="H17" s="211">
        <v>528271</v>
      </c>
      <c r="I17" s="211">
        <v>0</v>
      </c>
      <c r="J17" s="211">
        <v>1367023</v>
      </c>
      <c r="K17" s="212">
        <v>10691673</v>
      </c>
    </row>
  </sheetData>
  <sheetProtection/>
  <mergeCells count="4">
    <mergeCell ref="A6:L6"/>
    <mergeCell ref="A1:K1"/>
    <mergeCell ref="A3:K3"/>
    <mergeCell ref="A4:K4"/>
  </mergeCells>
  <printOptions headings="1"/>
  <pageMargins left="0.7" right="0.7" top="0.75" bottom="0.75" header="0.3" footer="0.3"/>
  <pageSetup horizontalDpi="360" verticalDpi="360" orientation="portrait" paperSize="9" scale="55" r:id="rId1"/>
  <colBreaks count="1" manualBreakCount="1">
    <brk id="11" max="1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zoomScalePageLayoutView="0" workbookViewId="0" topLeftCell="A1">
      <selection activeCell="A8" sqref="A8:H24"/>
    </sheetView>
  </sheetViews>
  <sheetFormatPr defaultColWidth="9.140625" defaultRowHeight="12.75"/>
  <cols>
    <col min="1" max="1" width="25.57421875" style="0" customWidth="1"/>
    <col min="2" max="2" width="15.28125" style="0" customWidth="1"/>
    <col min="3" max="3" width="17.8515625" style="0" customWidth="1"/>
    <col min="4" max="4" width="15.28125" style="0" customWidth="1"/>
    <col min="5" max="5" width="9.421875" style="0" bestFit="1" customWidth="1"/>
    <col min="6" max="6" width="14.57421875" style="0" customWidth="1"/>
    <col min="7" max="7" width="9.421875" style="0" bestFit="1" customWidth="1"/>
    <col min="8" max="8" width="16.140625" style="0" customWidth="1"/>
  </cols>
  <sheetData>
    <row r="1" spans="1:11" ht="15.75">
      <c r="A1" s="485" t="s">
        <v>496</v>
      </c>
      <c r="B1" s="485"/>
      <c r="C1" s="485"/>
      <c r="D1" s="485"/>
      <c r="E1" s="485"/>
      <c r="F1" s="485"/>
      <c r="G1" s="485"/>
      <c r="H1" s="485"/>
      <c r="I1" s="188"/>
      <c r="J1" s="188"/>
      <c r="K1" s="188"/>
    </row>
    <row r="2" spans="1:2" ht="15.75">
      <c r="A2" s="20"/>
      <c r="B2" s="1"/>
    </row>
    <row r="3" spans="1:11" ht="15.75">
      <c r="A3" s="486" t="s">
        <v>0</v>
      </c>
      <c r="B3" s="486"/>
      <c r="C3" s="486"/>
      <c r="D3" s="486"/>
      <c r="E3" s="486"/>
      <c r="F3" s="486"/>
      <c r="G3" s="486"/>
      <c r="H3" s="486"/>
      <c r="I3" s="189"/>
      <c r="J3" s="189"/>
      <c r="K3" s="189"/>
    </row>
    <row r="4" spans="1:9" ht="12.75" customHeight="1">
      <c r="A4" s="501" t="s">
        <v>520</v>
      </c>
      <c r="B4" s="501"/>
      <c r="C4" s="501"/>
      <c r="D4" s="501"/>
      <c r="E4" s="501"/>
      <c r="F4" s="501"/>
      <c r="G4" s="501"/>
      <c r="H4" s="501"/>
      <c r="I4" s="181"/>
    </row>
    <row r="5" ht="12.75" customHeight="1">
      <c r="I5" s="189"/>
    </row>
    <row r="7" ht="13.5" thickBot="1"/>
    <row r="8" spans="1:8" ht="110.25">
      <c r="A8" s="203" t="s">
        <v>1</v>
      </c>
      <c r="B8" s="204" t="s">
        <v>497</v>
      </c>
      <c r="C8" s="204" t="s">
        <v>498</v>
      </c>
      <c r="D8" s="204" t="s">
        <v>499</v>
      </c>
      <c r="E8" s="204" t="s">
        <v>500</v>
      </c>
      <c r="F8" s="204" t="s">
        <v>501</v>
      </c>
      <c r="G8" s="204" t="s">
        <v>502</v>
      </c>
      <c r="H8" s="205" t="s">
        <v>503</v>
      </c>
    </row>
    <row r="9" spans="1:8" ht="31.5">
      <c r="A9" s="195" t="s">
        <v>504</v>
      </c>
      <c r="B9" s="185">
        <v>24395697</v>
      </c>
      <c r="C9" s="185">
        <v>3196315226</v>
      </c>
      <c r="D9" s="185">
        <v>193724558</v>
      </c>
      <c r="E9" s="185">
        <v>0</v>
      </c>
      <c r="F9" s="185">
        <v>41934237</v>
      </c>
      <c r="G9" s="185">
        <v>0</v>
      </c>
      <c r="H9" s="196">
        <v>3456369718</v>
      </c>
    </row>
    <row r="10" spans="1:8" ht="47.25">
      <c r="A10" s="193" t="s">
        <v>505</v>
      </c>
      <c r="B10" s="183">
        <v>0</v>
      </c>
      <c r="C10" s="183">
        <v>0</v>
      </c>
      <c r="D10" s="183">
        <v>0</v>
      </c>
      <c r="E10" s="183">
        <v>0</v>
      </c>
      <c r="F10" s="183">
        <v>67213689</v>
      </c>
      <c r="G10" s="183">
        <v>0</v>
      </c>
      <c r="H10" s="194">
        <v>67213689</v>
      </c>
    </row>
    <row r="11" spans="1:8" ht="15.75">
      <c r="A11" s="193" t="s">
        <v>506</v>
      </c>
      <c r="B11" s="183">
        <v>0</v>
      </c>
      <c r="C11" s="183">
        <v>0</v>
      </c>
      <c r="D11" s="183">
        <v>0</v>
      </c>
      <c r="E11" s="183">
        <v>0</v>
      </c>
      <c r="F11" s="183">
        <v>76513731</v>
      </c>
      <c r="G11" s="183">
        <v>0</v>
      </c>
      <c r="H11" s="194">
        <v>76513731</v>
      </c>
    </row>
    <row r="12" spans="1:8" ht="31.5">
      <c r="A12" s="193" t="s">
        <v>507</v>
      </c>
      <c r="B12" s="183">
        <v>0</v>
      </c>
      <c r="C12" s="183">
        <v>87856241</v>
      </c>
      <c r="D12" s="183">
        <v>87862696</v>
      </c>
      <c r="E12" s="183">
        <v>0</v>
      </c>
      <c r="F12" s="183">
        <v>0</v>
      </c>
      <c r="G12" s="183">
        <v>0</v>
      </c>
      <c r="H12" s="194">
        <v>175718937</v>
      </c>
    </row>
    <row r="13" spans="1:8" ht="15.75">
      <c r="A13" s="193" t="s">
        <v>508</v>
      </c>
      <c r="B13" s="183">
        <v>0</v>
      </c>
      <c r="C13" s="183">
        <v>651400000</v>
      </c>
      <c r="D13" s="183">
        <v>0</v>
      </c>
      <c r="E13" s="183">
        <v>0</v>
      </c>
      <c r="F13" s="183">
        <v>0</v>
      </c>
      <c r="G13" s="183">
        <v>0</v>
      </c>
      <c r="H13" s="194">
        <v>651400000</v>
      </c>
    </row>
    <row r="14" spans="1:8" ht="15.75">
      <c r="A14" s="193" t="s">
        <v>509</v>
      </c>
      <c r="B14" s="183">
        <v>0</v>
      </c>
      <c r="C14" s="183">
        <v>145512</v>
      </c>
      <c r="D14" s="183">
        <v>0</v>
      </c>
      <c r="E14" s="183">
        <v>0</v>
      </c>
      <c r="F14" s="183">
        <v>0</v>
      </c>
      <c r="G14" s="183">
        <v>0</v>
      </c>
      <c r="H14" s="194">
        <v>145512</v>
      </c>
    </row>
    <row r="15" spans="1:8" ht="31.5">
      <c r="A15" s="195" t="s">
        <v>510</v>
      </c>
      <c r="B15" s="185">
        <v>0</v>
      </c>
      <c r="C15" s="185">
        <v>739401753</v>
      </c>
      <c r="D15" s="185">
        <v>87862696</v>
      </c>
      <c r="E15" s="185">
        <v>0</v>
      </c>
      <c r="F15" s="185">
        <v>143727420</v>
      </c>
      <c r="G15" s="185">
        <v>0</v>
      </c>
      <c r="H15" s="196">
        <v>970991869</v>
      </c>
    </row>
    <row r="16" spans="1:8" ht="15.75">
      <c r="A16" s="193" t="s">
        <v>511</v>
      </c>
      <c r="B16" s="183">
        <v>0</v>
      </c>
      <c r="C16" s="183">
        <v>0</v>
      </c>
      <c r="D16" s="183">
        <v>21777860</v>
      </c>
      <c r="E16" s="183">
        <v>0</v>
      </c>
      <c r="F16" s="183">
        <v>154086589</v>
      </c>
      <c r="G16" s="183">
        <v>0</v>
      </c>
      <c r="H16" s="194">
        <v>175864449</v>
      </c>
    </row>
    <row r="17" spans="1:8" ht="31.5">
      <c r="A17" s="195" t="s">
        <v>512</v>
      </c>
      <c r="B17" s="185">
        <v>0</v>
      </c>
      <c r="C17" s="185">
        <v>0</v>
      </c>
      <c r="D17" s="185">
        <v>21777860</v>
      </c>
      <c r="E17" s="185">
        <v>0</v>
      </c>
      <c r="F17" s="185">
        <v>154086589</v>
      </c>
      <c r="G17" s="185">
        <v>0</v>
      </c>
      <c r="H17" s="196">
        <v>175864449</v>
      </c>
    </row>
    <row r="18" spans="1:8" ht="31.5">
      <c r="A18" s="195" t="s">
        <v>513</v>
      </c>
      <c r="B18" s="185">
        <v>24395697</v>
      </c>
      <c r="C18" s="185">
        <v>3935716979</v>
      </c>
      <c r="D18" s="185">
        <v>259809394</v>
      </c>
      <c r="E18" s="185">
        <v>0</v>
      </c>
      <c r="F18" s="185">
        <v>31575068</v>
      </c>
      <c r="G18" s="185">
        <v>0</v>
      </c>
      <c r="H18" s="196">
        <v>4251497138</v>
      </c>
    </row>
    <row r="19" spans="1:8" ht="47.25">
      <c r="A19" s="195" t="s">
        <v>514</v>
      </c>
      <c r="B19" s="185">
        <v>24395697</v>
      </c>
      <c r="C19" s="185">
        <v>645735411</v>
      </c>
      <c r="D19" s="185">
        <v>137128014</v>
      </c>
      <c r="E19" s="185">
        <v>0</v>
      </c>
      <c r="F19" s="185">
        <v>0</v>
      </c>
      <c r="G19" s="185">
        <v>0</v>
      </c>
      <c r="H19" s="196">
        <v>807259122</v>
      </c>
    </row>
    <row r="20" spans="1:8" ht="36" customHeight="1">
      <c r="A20" s="193" t="s">
        <v>515</v>
      </c>
      <c r="B20" s="183">
        <v>0</v>
      </c>
      <c r="C20" s="183">
        <v>54383416</v>
      </c>
      <c r="D20" s="183">
        <v>26871642</v>
      </c>
      <c r="E20" s="183">
        <v>0</v>
      </c>
      <c r="F20" s="183">
        <v>0</v>
      </c>
      <c r="G20" s="183">
        <v>0</v>
      </c>
      <c r="H20" s="194">
        <v>81255058</v>
      </c>
    </row>
    <row r="21" spans="1:8" ht="47.25">
      <c r="A21" s="195" t="s">
        <v>516</v>
      </c>
      <c r="B21" s="185">
        <v>24395697</v>
      </c>
      <c r="C21" s="185">
        <v>700118827</v>
      </c>
      <c r="D21" s="185">
        <v>163999656</v>
      </c>
      <c r="E21" s="185">
        <v>0</v>
      </c>
      <c r="F21" s="185">
        <v>0</v>
      </c>
      <c r="G21" s="185">
        <v>0</v>
      </c>
      <c r="H21" s="196">
        <v>888514180</v>
      </c>
    </row>
    <row r="22" spans="1:8" ht="31.5">
      <c r="A22" s="195" t="s">
        <v>517</v>
      </c>
      <c r="B22" s="185">
        <v>24395697</v>
      </c>
      <c r="C22" s="185">
        <v>700118827</v>
      </c>
      <c r="D22" s="185">
        <v>163999656</v>
      </c>
      <c r="E22" s="185">
        <v>0</v>
      </c>
      <c r="F22" s="185">
        <v>0</v>
      </c>
      <c r="G22" s="185">
        <v>0</v>
      </c>
      <c r="H22" s="196">
        <v>888514180</v>
      </c>
    </row>
    <row r="23" spans="1:8" ht="31.5">
      <c r="A23" s="195" t="s">
        <v>518</v>
      </c>
      <c r="B23" s="185">
        <v>0</v>
      </c>
      <c r="C23" s="185">
        <v>3235598152</v>
      </c>
      <c r="D23" s="185">
        <v>95809738</v>
      </c>
      <c r="E23" s="185">
        <v>0</v>
      </c>
      <c r="F23" s="185">
        <v>31575068</v>
      </c>
      <c r="G23" s="185">
        <v>0</v>
      </c>
      <c r="H23" s="196">
        <v>3362982958</v>
      </c>
    </row>
    <row r="24" spans="1:8" ht="32.25" thickBot="1">
      <c r="A24" s="213" t="s">
        <v>519</v>
      </c>
      <c r="B24" s="214">
        <v>24395697</v>
      </c>
      <c r="C24" s="214">
        <v>17487400</v>
      </c>
      <c r="D24" s="214">
        <v>118180544</v>
      </c>
      <c r="E24" s="214">
        <v>0</v>
      </c>
      <c r="F24" s="214">
        <v>0</v>
      </c>
      <c r="G24" s="214">
        <v>0</v>
      </c>
      <c r="H24" s="215">
        <v>160063641</v>
      </c>
    </row>
  </sheetData>
  <sheetProtection/>
  <mergeCells count="3">
    <mergeCell ref="A3:H3"/>
    <mergeCell ref="A1:H1"/>
    <mergeCell ref="A4:H4"/>
  </mergeCells>
  <printOptions headings="1"/>
  <pageMargins left="0.7" right="0.7" top="0.75" bottom="0.75" header="0.3" footer="0.3"/>
  <pageSetup horizontalDpi="360" verticalDpi="36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">
      <selection activeCell="E143" sqref="E14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28125" style="0" customWidth="1"/>
    <col min="4" max="4" width="4.00390625" style="0" customWidth="1"/>
    <col min="5" max="5" width="49.140625" style="0" customWidth="1"/>
    <col min="6" max="6" width="14.00390625" style="0" customWidth="1"/>
    <col min="7" max="7" width="14.140625" style="0" customWidth="1"/>
    <col min="8" max="8" width="14.57421875" style="0" customWidth="1"/>
    <col min="9" max="9" width="8.421875" style="1" bestFit="1" customWidth="1"/>
  </cols>
  <sheetData>
    <row r="1" spans="1:9" ht="15.75">
      <c r="A1" s="356" t="s">
        <v>420</v>
      </c>
      <c r="B1" s="356"/>
      <c r="C1" s="356"/>
      <c r="D1" s="356"/>
      <c r="E1" s="356"/>
      <c r="F1" s="356"/>
      <c r="G1" s="356"/>
      <c r="H1" s="356"/>
      <c r="I1" s="356"/>
    </row>
    <row r="2" spans="1:6" ht="15.75">
      <c r="A2" s="18"/>
      <c r="B2" s="18"/>
      <c r="C2" s="18"/>
      <c r="D2" s="18"/>
      <c r="E2" s="3"/>
      <c r="F2" s="3"/>
    </row>
    <row r="3" spans="1:9" ht="15" customHeight="1">
      <c r="A3" s="357" t="s">
        <v>0</v>
      </c>
      <c r="B3" s="357"/>
      <c r="C3" s="357"/>
      <c r="D3" s="357"/>
      <c r="E3" s="357"/>
      <c r="F3" s="357"/>
      <c r="G3" s="357"/>
      <c r="H3" s="357"/>
      <c r="I3" s="357"/>
    </row>
    <row r="4" spans="1:9" ht="15" customHeight="1">
      <c r="A4" s="357" t="s">
        <v>431</v>
      </c>
      <c r="B4" s="357"/>
      <c r="C4" s="357"/>
      <c r="D4" s="357"/>
      <c r="E4" s="357"/>
      <c r="F4" s="357"/>
      <c r="G4" s="357"/>
      <c r="H4" s="357"/>
      <c r="I4" s="357"/>
    </row>
    <row r="5" spans="1:9" ht="15" customHeight="1">
      <c r="A5" s="357" t="s">
        <v>43</v>
      </c>
      <c r="B5" s="357"/>
      <c r="C5" s="357"/>
      <c r="D5" s="357"/>
      <c r="E5" s="357"/>
      <c r="F5" s="357"/>
      <c r="G5" s="357"/>
      <c r="H5" s="357"/>
      <c r="I5" s="357"/>
    </row>
    <row r="6" spans="1:6" ht="15" customHeight="1">
      <c r="A6" s="19"/>
      <c r="B6" s="19"/>
      <c r="C6" s="19"/>
      <c r="D6" s="19"/>
      <c r="E6" s="19"/>
      <c r="F6" s="19"/>
    </row>
    <row r="7" spans="1:8" ht="16.5" thickBot="1">
      <c r="A7" s="20"/>
      <c r="B7" s="20"/>
      <c r="C7" s="20"/>
      <c r="D7" s="20"/>
      <c r="E7" s="21"/>
      <c r="F7" s="21"/>
      <c r="G7" s="166"/>
      <c r="H7" s="46" t="s">
        <v>281</v>
      </c>
    </row>
    <row r="8" spans="1:9" ht="15.75" customHeight="1">
      <c r="A8" s="358" t="s">
        <v>44</v>
      </c>
      <c r="B8" s="359"/>
      <c r="C8" s="359"/>
      <c r="D8" s="359"/>
      <c r="E8" s="359"/>
      <c r="F8" s="335" t="s">
        <v>2</v>
      </c>
      <c r="G8" s="335" t="s">
        <v>392</v>
      </c>
      <c r="H8" s="335" t="s">
        <v>523</v>
      </c>
      <c r="I8" s="337" t="s">
        <v>428</v>
      </c>
    </row>
    <row r="9" spans="1:9" ht="18" customHeight="1">
      <c r="A9" s="360"/>
      <c r="B9" s="361"/>
      <c r="C9" s="361"/>
      <c r="D9" s="361"/>
      <c r="E9" s="361"/>
      <c r="F9" s="336"/>
      <c r="G9" s="336"/>
      <c r="H9" s="336"/>
      <c r="I9" s="338"/>
    </row>
    <row r="10" spans="1:9" ht="15.75">
      <c r="A10" s="350" t="s">
        <v>45</v>
      </c>
      <c r="B10" s="362"/>
      <c r="C10" s="362"/>
      <c r="D10" s="362"/>
      <c r="E10" s="351"/>
      <c r="F10" s="23">
        <f>F17+F19+F13+F11</f>
        <v>14001000</v>
      </c>
      <c r="G10" s="23">
        <f>G17+G19+G13+G11</f>
        <v>12559597</v>
      </c>
      <c r="H10" s="23">
        <f>H17+H19+H13+H11</f>
        <v>11488389</v>
      </c>
      <c r="I10" s="216">
        <f>H10/G10</f>
        <v>0.9147100022397215</v>
      </c>
    </row>
    <row r="11" spans="1:9" ht="15.75">
      <c r="A11" s="217" t="s">
        <v>6</v>
      </c>
      <c r="B11" s="363" t="s">
        <v>7</v>
      </c>
      <c r="C11" s="364"/>
      <c r="D11" s="364"/>
      <c r="E11" s="365"/>
      <c r="F11" s="141">
        <f>SUM(F12)</f>
        <v>13000000</v>
      </c>
      <c r="G11" s="141">
        <f>SUM(G12)</f>
        <v>11000000</v>
      </c>
      <c r="H11" s="141">
        <f>SUM(H12)</f>
        <v>10187119</v>
      </c>
      <c r="I11" s="218">
        <f aca="true" t="shared" si="0" ref="I11:I19">H11/G11</f>
        <v>0.9261017272727273</v>
      </c>
    </row>
    <row r="12" spans="1:9" ht="15.75">
      <c r="A12" s="217"/>
      <c r="B12" s="24" t="s">
        <v>72</v>
      </c>
      <c r="C12" s="366" t="s">
        <v>73</v>
      </c>
      <c r="D12" s="367"/>
      <c r="E12" s="368"/>
      <c r="F12" s="143">
        <v>13000000</v>
      </c>
      <c r="G12" s="143">
        <v>11000000</v>
      </c>
      <c r="H12" s="143">
        <v>10187119</v>
      </c>
      <c r="I12" s="219">
        <f t="shared" si="0"/>
        <v>0.9261017272727273</v>
      </c>
    </row>
    <row r="13" spans="1:9" ht="15.75">
      <c r="A13" s="154" t="s">
        <v>8</v>
      </c>
      <c r="B13" s="24"/>
      <c r="C13" s="366" t="s">
        <v>9</v>
      </c>
      <c r="D13" s="367"/>
      <c r="E13" s="368"/>
      <c r="F13" s="27">
        <f>SUM(F14:F15)</f>
        <v>201000</v>
      </c>
      <c r="G13" s="27">
        <f>SUM(G14:G16)</f>
        <v>759597</v>
      </c>
      <c r="H13" s="27">
        <f>SUM(H14:H16)</f>
        <v>653718</v>
      </c>
      <c r="I13" s="219">
        <f t="shared" si="0"/>
        <v>0.8606116137899439</v>
      </c>
    </row>
    <row r="14" spans="1:9" ht="15.75">
      <c r="A14" s="155"/>
      <c r="B14" s="25"/>
      <c r="C14" s="25" t="s">
        <v>47</v>
      </c>
      <c r="D14" s="369" t="s">
        <v>48</v>
      </c>
      <c r="E14" s="370"/>
      <c r="F14" s="27">
        <v>200000</v>
      </c>
      <c r="G14" s="27">
        <v>200000</v>
      </c>
      <c r="H14" s="27">
        <v>95000</v>
      </c>
      <c r="I14" s="219">
        <f t="shared" si="0"/>
        <v>0.475</v>
      </c>
    </row>
    <row r="15" spans="1:9" ht="15.75">
      <c r="A15" s="155"/>
      <c r="B15" s="25"/>
      <c r="C15" s="25" t="s">
        <v>51</v>
      </c>
      <c r="D15" s="369" t="s">
        <v>52</v>
      </c>
      <c r="E15" s="370"/>
      <c r="F15" s="27">
        <v>1000</v>
      </c>
      <c r="G15" s="27">
        <v>1000</v>
      </c>
      <c r="H15" s="27">
        <v>121</v>
      </c>
      <c r="I15" s="219">
        <f t="shared" si="0"/>
        <v>0.121</v>
      </c>
    </row>
    <row r="16" spans="1:9" ht="15.75">
      <c r="A16" s="155"/>
      <c r="B16" s="25"/>
      <c r="C16" s="25" t="s">
        <v>405</v>
      </c>
      <c r="D16" s="369" t="s">
        <v>406</v>
      </c>
      <c r="E16" s="370"/>
      <c r="F16" s="27">
        <v>0</v>
      </c>
      <c r="G16" s="27">
        <v>558597</v>
      </c>
      <c r="H16" s="27">
        <v>558597</v>
      </c>
      <c r="I16" s="219">
        <f t="shared" si="0"/>
        <v>1</v>
      </c>
    </row>
    <row r="17" spans="1:9" ht="15.75">
      <c r="A17" s="154" t="s">
        <v>15</v>
      </c>
      <c r="B17" s="24"/>
      <c r="C17" s="366" t="s">
        <v>16</v>
      </c>
      <c r="D17" s="367"/>
      <c r="E17" s="368"/>
      <c r="F17" s="26">
        <f>SUM(F18:F18)</f>
        <v>600000</v>
      </c>
      <c r="G17" s="26">
        <f>SUM(G18:G18)</f>
        <v>600000</v>
      </c>
      <c r="H17" s="26">
        <f>SUM(H18:H18)</f>
        <v>587550</v>
      </c>
      <c r="I17" s="218">
        <f t="shared" si="0"/>
        <v>0.97925</v>
      </c>
    </row>
    <row r="18" spans="1:9" ht="15.75">
      <c r="A18" s="155"/>
      <c r="B18" s="25" t="s">
        <v>53</v>
      </c>
      <c r="C18" s="25"/>
      <c r="D18" s="369" t="s">
        <v>54</v>
      </c>
      <c r="E18" s="370"/>
      <c r="F18" s="27">
        <v>600000</v>
      </c>
      <c r="G18" s="27">
        <v>600000</v>
      </c>
      <c r="H18" s="27">
        <v>587550</v>
      </c>
      <c r="I18" s="219">
        <f t="shared" si="0"/>
        <v>0.97925</v>
      </c>
    </row>
    <row r="19" spans="1:9" ht="15.75">
      <c r="A19" s="154" t="s">
        <v>10</v>
      </c>
      <c r="B19" s="24"/>
      <c r="C19" s="366" t="s">
        <v>11</v>
      </c>
      <c r="D19" s="367"/>
      <c r="E19" s="368"/>
      <c r="F19" s="26">
        <f>SUM(F20)</f>
        <v>200000</v>
      </c>
      <c r="G19" s="26">
        <f>SUM(G20:G20)</f>
        <v>200000</v>
      </c>
      <c r="H19" s="26">
        <f>SUM(H20:H20)</f>
        <v>60002</v>
      </c>
      <c r="I19" s="218">
        <f t="shared" si="0"/>
        <v>0.30001</v>
      </c>
    </row>
    <row r="20" spans="1:9" ht="15.75">
      <c r="A20" s="155"/>
      <c r="B20" s="25" t="s">
        <v>55</v>
      </c>
      <c r="C20" s="25"/>
      <c r="D20" s="369" t="s">
        <v>56</v>
      </c>
      <c r="E20" s="370"/>
      <c r="F20" s="27">
        <v>200000</v>
      </c>
      <c r="G20" s="27">
        <v>200000</v>
      </c>
      <c r="H20" s="27">
        <v>60002</v>
      </c>
      <c r="I20" s="219">
        <f>H20/G20</f>
        <v>0.30001</v>
      </c>
    </row>
    <row r="21" spans="1:9" ht="15.75" customHeight="1">
      <c r="A21" s="155"/>
      <c r="B21" s="25"/>
      <c r="C21" s="25"/>
      <c r="D21" s="25"/>
      <c r="E21" s="25"/>
      <c r="F21" s="29"/>
      <c r="G21" s="29"/>
      <c r="H21" s="29"/>
      <c r="I21" s="219"/>
    </row>
    <row r="22" spans="1:9" ht="15.75" customHeight="1">
      <c r="A22" s="371" t="s">
        <v>57</v>
      </c>
      <c r="B22" s="372"/>
      <c r="C22" s="372"/>
      <c r="D22" s="372"/>
      <c r="E22" s="373"/>
      <c r="F22" s="31">
        <f>SUM(F23)</f>
        <v>108500000</v>
      </c>
      <c r="G22" s="31">
        <f>SUM(G23)</f>
        <v>126814182</v>
      </c>
      <c r="H22" s="31">
        <f>SUM(H23)</f>
        <v>128609943</v>
      </c>
      <c r="I22" s="220">
        <f>H22/G22</f>
        <v>1.0141605692019524</v>
      </c>
    </row>
    <row r="23" spans="1:9" ht="15.75" customHeight="1">
      <c r="A23" s="154" t="s">
        <v>6</v>
      </c>
      <c r="B23" s="24"/>
      <c r="C23" s="366" t="s">
        <v>7</v>
      </c>
      <c r="D23" s="367"/>
      <c r="E23" s="368"/>
      <c r="F23" s="32">
        <f>F24+F27+F32</f>
        <v>108500000</v>
      </c>
      <c r="G23" s="32">
        <f>G24+G27+G32</f>
        <v>126814182</v>
      </c>
      <c r="H23" s="32">
        <f>H24+H27+H32</f>
        <v>128609943</v>
      </c>
      <c r="I23" s="218">
        <f aca="true" t="shared" si="1" ref="I23:I82">H23/G23</f>
        <v>1.0141605692019524</v>
      </c>
    </row>
    <row r="24" spans="1:9" ht="15.75" customHeight="1">
      <c r="A24" s="155"/>
      <c r="B24" s="24" t="s">
        <v>58</v>
      </c>
      <c r="C24" s="24"/>
      <c r="D24" s="366" t="s">
        <v>59</v>
      </c>
      <c r="E24" s="368"/>
      <c r="F24" s="32">
        <f>SUM(F25:F26)</f>
        <v>62000000</v>
      </c>
      <c r="G24" s="32">
        <f>SUM(G25:G26)</f>
        <v>84000000</v>
      </c>
      <c r="H24" s="32">
        <f>SUM(H25:H26)</f>
        <v>85478447</v>
      </c>
      <c r="I24" s="218">
        <f t="shared" si="1"/>
        <v>1.0176005595238096</v>
      </c>
    </row>
    <row r="25" spans="1:9" ht="15.75" customHeight="1">
      <c r="A25" s="155"/>
      <c r="B25" s="25"/>
      <c r="C25" s="25" t="s">
        <v>60</v>
      </c>
      <c r="D25" s="25"/>
      <c r="E25" s="25" t="s">
        <v>61</v>
      </c>
      <c r="F25" s="33">
        <v>50000000</v>
      </c>
      <c r="G25" s="33">
        <v>66000000</v>
      </c>
      <c r="H25" s="33">
        <v>66927759</v>
      </c>
      <c r="I25" s="219">
        <f t="shared" si="1"/>
        <v>1.0140569545454545</v>
      </c>
    </row>
    <row r="26" spans="1:9" ht="15.75" customHeight="1">
      <c r="A26" s="154"/>
      <c r="B26" s="24"/>
      <c r="C26" s="25" t="s">
        <v>62</v>
      </c>
      <c r="D26" s="24"/>
      <c r="E26" s="25" t="s">
        <v>63</v>
      </c>
      <c r="F26" s="29">
        <v>12000000</v>
      </c>
      <c r="G26" s="29">
        <v>18000000</v>
      </c>
      <c r="H26" s="29">
        <v>18550688</v>
      </c>
      <c r="I26" s="219">
        <f t="shared" si="1"/>
        <v>1.0305937777777778</v>
      </c>
    </row>
    <row r="27" spans="1:9" ht="15.75" customHeight="1">
      <c r="A27" s="154"/>
      <c r="B27" s="24" t="s">
        <v>64</v>
      </c>
      <c r="C27" s="24"/>
      <c r="D27" s="366" t="s">
        <v>65</v>
      </c>
      <c r="E27" s="368"/>
      <c r="F27" s="32">
        <f>F28+F30</f>
        <v>46000000</v>
      </c>
      <c r="G27" s="32">
        <f>G28+G30</f>
        <v>42314182</v>
      </c>
      <c r="H27" s="32">
        <f>H28+H30</f>
        <v>43036682</v>
      </c>
      <c r="I27" s="218">
        <f t="shared" si="1"/>
        <v>1.0170746535995898</v>
      </c>
    </row>
    <row r="28" spans="1:9" ht="15.75" customHeight="1">
      <c r="A28" s="154"/>
      <c r="B28" s="25"/>
      <c r="C28" s="25" t="s">
        <v>66</v>
      </c>
      <c r="D28" s="369" t="s">
        <v>67</v>
      </c>
      <c r="E28" s="370"/>
      <c r="F28" s="29">
        <f>SUM(F29)</f>
        <v>26000000</v>
      </c>
      <c r="G28" s="29">
        <f>SUM(G29)</f>
        <v>20314182</v>
      </c>
      <c r="H28" s="29">
        <f>SUM(H29)</f>
        <v>20343245</v>
      </c>
      <c r="I28" s="219">
        <f t="shared" si="1"/>
        <v>1.0014306753774285</v>
      </c>
    </row>
    <row r="29" spans="1:9" ht="15.75" customHeight="1">
      <c r="A29" s="154"/>
      <c r="B29" s="25"/>
      <c r="C29" s="25"/>
      <c r="D29" s="25"/>
      <c r="E29" s="25" t="s">
        <v>68</v>
      </c>
      <c r="F29" s="33">
        <v>26000000</v>
      </c>
      <c r="G29" s="33">
        <v>20314182</v>
      </c>
      <c r="H29" s="33">
        <v>20343245</v>
      </c>
      <c r="I29" s="219">
        <f t="shared" si="1"/>
        <v>1.0014306753774285</v>
      </c>
    </row>
    <row r="30" spans="1:9" ht="15.75" customHeight="1">
      <c r="A30" s="154"/>
      <c r="B30" s="25"/>
      <c r="C30" s="25" t="s">
        <v>69</v>
      </c>
      <c r="D30" s="369" t="s">
        <v>70</v>
      </c>
      <c r="E30" s="370"/>
      <c r="F30" s="29">
        <f>SUM(F31:F31)</f>
        <v>20000000</v>
      </c>
      <c r="G30" s="29">
        <f>SUM(G31:G31)</f>
        <v>22000000</v>
      </c>
      <c r="H30" s="29">
        <f>SUM(H31:H31)</f>
        <v>22693437</v>
      </c>
      <c r="I30" s="219">
        <f t="shared" si="1"/>
        <v>1.0315198636363636</v>
      </c>
    </row>
    <row r="31" spans="1:9" ht="15.75" customHeight="1">
      <c r="A31" s="154"/>
      <c r="B31" s="25"/>
      <c r="C31" s="25"/>
      <c r="D31" s="25"/>
      <c r="E31" s="25" t="s">
        <v>71</v>
      </c>
      <c r="F31" s="29">
        <v>20000000</v>
      </c>
      <c r="G31" s="29">
        <v>22000000</v>
      </c>
      <c r="H31" s="29">
        <v>22693437</v>
      </c>
      <c r="I31" s="219">
        <f t="shared" si="1"/>
        <v>1.0315198636363636</v>
      </c>
    </row>
    <row r="32" spans="1:9" ht="15.75" customHeight="1">
      <c r="A32" s="155"/>
      <c r="B32" s="24" t="s">
        <v>72</v>
      </c>
      <c r="C32" s="24"/>
      <c r="D32" s="366" t="s">
        <v>73</v>
      </c>
      <c r="E32" s="368"/>
      <c r="F32" s="32">
        <f>F33</f>
        <v>500000</v>
      </c>
      <c r="G32" s="32">
        <f>G33</f>
        <v>500000</v>
      </c>
      <c r="H32" s="32">
        <f>H33</f>
        <v>94814</v>
      </c>
      <c r="I32" s="218">
        <f t="shared" si="1"/>
        <v>0.189628</v>
      </c>
    </row>
    <row r="33" spans="1:9" ht="15.75" customHeight="1">
      <c r="A33" s="155"/>
      <c r="B33" s="25"/>
      <c r="C33" s="25" t="s">
        <v>74</v>
      </c>
      <c r="D33" s="25"/>
      <c r="E33" s="25" t="s">
        <v>75</v>
      </c>
      <c r="F33" s="29">
        <v>500000</v>
      </c>
      <c r="G33" s="29">
        <v>500000</v>
      </c>
      <c r="H33" s="29">
        <v>94814</v>
      </c>
      <c r="I33" s="219">
        <f t="shared" si="1"/>
        <v>0.189628</v>
      </c>
    </row>
    <row r="34" spans="1:9" ht="15.75" customHeight="1">
      <c r="A34" s="154"/>
      <c r="B34" s="25"/>
      <c r="C34" s="25"/>
      <c r="D34" s="25"/>
      <c r="E34" s="25"/>
      <c r="F34" s="29"/>
      <c r="G34" s="29"/>
      <c r="H34" s="29"/>
      <c r="I34" s="219"/>
    </row>
    <row r="35" spans="1:9" ht="15.75" customHeight="1">
      <c r="A35" s="350" t="s">
        <v>76</v>
      </c>
      <c r="B35" s="362"/>
      <c r="C35" s="362"/>
      <c r="D35" s="362"/>
      <c r="E35" s="351"/>
      <c r="F35" s="31">
        <f>SUM(F36)</f>
        <v>63500</v>
      </c>
      <c r="G35" s="31">
        <f>SUM(G36)</f>
        <v>199390</v>
      </c>
      <c r="H35" s="31">
        <f>SUM(H36)</f>
        <v>199390</v>
      </c>
      <c r="I35" s="220">
        <f>H35/G35</f>
        <v>1</v>
      </c>
    </row>
    <row r="36" spans="1:9" ht="15.75" customHeight="1">
      <c r="A36" s="154" t="s">
        <v>8</v>
      </c>
      <c r="B36" s="24"/>
      <c r="C36" s="366" t="s">
        <v>9</v>
      </c>
      <c r="D36" s="367"/>
      <c r="E36" s="368"/>
      <c r="F36" s="29">
        <f>F37+F38</f>
        <v>63500</v>
      </c>
      <c r="G36" s="29">
        <f>G37+G38</f>
        <v>199390</v>
      </c>
      <c r="H36" s="29">
        <f>H37+H38</f>
        <v>199390</v>
      </c>
      <c r="I36" s="219">
        <f t="shared" si="1"/>
        <v>1</v>
      </c>
    </row>
    <row r="37" spans="1:9" ht="15.75" customHeight="1">
      <c r="A37" s="154"/>
      <c r="B37" s="25"/>
      <c r="C37" s="25" t="s">
        <v>47</v>
      </c>
      <c r="D37" s="25"/>
      <c r="E37" s="25" t="s">
        <v>77</v>
      </c>
      <c r="F37" s="29">
        <v>50000</v>
      </c>
      <c r="G37" s="29">
        <v>157000</v>
      </c>
      <c r="H37" s="29">
        <v>157000</v>
      </c>
      <c r="I37" s="219">
        <f t="shared" si="1"/>
        <v>1</v>
      </c>
    </row>
    <row r="38" spans="1:9" ht="15.75" customHeight="1">
      <c r="A38" s="154"/>
      <c r="B38" s="25"/>
      <c r="C38" s="25" t="s">
        <v>49</v>
      </c>
      <c r="D38" s="25"/>
      <c r="E38" s="25" t="s">
        <v>50</v>
      </c>
      <c r="F38" s="29">
        <v>13500</v>
      </c>
      <c r="G38" s="29">
        <v>42390</v>
      </c>
      <c r="H38" s="29">
        <v>42390</v>
      </c>
      <c r="I38" s="219">
        <f t="shared" si="1"/>
        <v>1</v>
      </c>
    </row>
    <row r="39" spans="1:9" ht="15.75" customHeight="1">
      <c r="A39" s="155"/>
      <c r="B39" s="25"/>
      <c r="C39" s="25"/>
      <c r="D39" s="25"/>
      <c r="E39" s="25"/>
      <c r="F39" s="29"/>
      <c r="G39" s="29"/>
      <c r="H39" s="29"/>
      <c r="I39" s="219"/>
    </row>
    <row r="40" spans="1:9" ht="15.75" customHeight="1">
      <c r="A40" s="350" t="s">
        <v>78</v>
      </c>
      <c r="B40" s="362"/>
      <c r="C40" s="362"/>
      <c r="D40" s="362"/>
      <c r="E40" s="351"/>
      <c r="F40" s="31">
        <f>F41+F43</f>
        <v>109981992</v>
      </c>
      <c r="G40" s="31">
        <f>G41+G43</f>
        <v>97595318</v>
      </c>
      <c r="H40" s="31">
        <f>H41+H43</f>
        <v>97595318</v>
      </c>
      <c r="I40" s="220">
        <f>H40/G40</f>
        <v>1</v>
      </c>
    </row>
    <row r="41" spans="1:9" ht="15.75" customHeight="1">
      <c r="A41" s="217" t="s">
        <v>13</v>
      </c>
      <c r="B41" s="161"/>
      <c r="C41" s="374" t="s">
        <v>16</v>
      </c>
      <c r="D41" s="375"/>
      <c r="E41" s="376"/>
      <c r="F41" s="153">
        <f>SUM(F42)</f>
        <v>13000000</v>
      </c>
      <c r="G41" s="153">
        <f>SUM(G42)</f>
        <v>0</v>
      </c>
      <c r="H41" s="153">
        <f>SUM(H42)</f>
        <v>0</v>
      </c>
      <c r="I41" s="219"/>
    </row>
    <row r="42" spans="1:9" ht="15.75" customHeight="1">
      <c r="A42" s="217"/>
      <c r="B42" s="161"/>
      <c r="C42" s="162" t="s">
        <v>53</v>
      </c>
      <c r="D42" s="377" t="s">
        <v>365</v>
      </c>
      <c r="E42" s="378"/>
      <c r="F42" s="163">
        <v>13000000</v>
      </c>
      <c r="G42" s="163">
        <v>0</v>
      </c>
      <c r="H42" s="163">
        <v>0</v>
      </c>
      <c r="I42" s="219"/>
    </row>
    <row r="43" spans="1:9" ht="15.75" customHeight="1">
      <c r="A43" s="154" t="s">
        <v>8</v>
      </c>
      <c r="B43" s="24"/>
      <c r="C43" s="366" t="s">
        <v>9</v>
      </c>
      <c r="D43" s="367"/>
      <c r="E43" s="368"/>
      <c r="F43" s="32">
        <f>F44+F47+F48+F49</f>
        <v>96981992</v>
      </c>
      <c r="G43" s="32">
        <f>G44+G47+G48+G49</f>
        <v>97595318</v>
      </c>
      <c r="H43" s="32">
        <f>H44+H47+H48+H49</f>
        <v>97595318</v>
      </c>
      <c r="I43" s="219">
        <f t="shared" si="1"/>
        <v>1</v>
      </c>
    </row>
    <row r="44" spans="1:9" ht="15.75" customHeight="1">
      <c r="A44" s="155"/>
      <c r="B44" s="25"/>
      <c r="C44" s="25" t="s">
        <v>47</v>
      </c>
      <c r="D44" s="369" t="s">
        <v>77</v>
      </c>
      <c r="E44" s="370"/>
      <c r="F44" s="29">
        <f>SUM(F45:F46)</f>
        <v>73300000</v>
      </c>
      <c r="G44" s="29">
        <f>SUM(G45:G46)</f>
        <v>74700597</v>
      </c>
      <c r="H44" s="29">
        <f>SUM(H45:H46)</f>
        <v>74700597</v>
      </c>
      <c r="I44" s="219">
        <f t="shared" si="1"/>
        <v>1</v>
      </c>
    </row>
    <row r="45" spans="1:9" ht="15.75" customHeight="1">
      <c r="A45" s="155"/>
      <c r="B45" s="25"/>
      <c r="C45" s="25"/>
      <c r="D45" s="25"/>
      <c r="E45" s="25" t="s">
        <v>79</v>
      </c>
      <c r="F45" s="34">
        <v>73000000</v>
      </c>
      <c r="G45" s="34">
        <v>74400597</v>
      </c>
      <c r="H45" s="34">
        <v>74400597</v>
      </c>
      <c r="I45" s="219">
        <f t="shared" si="1"/>
        <v>1</v>
      </c>
    </row>
    <row r="46" spans="1:9" ht="15.75" customHeight="1">
      <c r="A46" s="155"/>
      <c r="B46" s="25"/>
      <c r="C46" s="25"/>
      <c r="D46" s="25"/>
      <c r="E46" s="25" t="s">
        <v>80</v>
      </c>
      <c r="F46" s="29">
        <v>300000</v>
      </c>
      <c r="G46" s="29">
        <v>300000</v>
      </c>
      <c r="H46" s="29">
        <v>300000</v>
      </c>
      <c r="I46" s="219">
        <f t="shared" si="1"/>
        <v>1</v>
      </c>
    </row>
    <row r="47" spans="1:9" ht="15.75" customHeight="1">
      <c r="A47" s="155"/>
      <c r="B47" s="25"/>
      <c r="C47" s="25" t="s">
        <v>81</v>
      </c>
      <c r="D47" s="369" t="s">
        <v>82</v>
      </c>
      <c r="E47" s="370"/>
      <c r="F47" s="29">
        <v>1200000</v>
      </c>
      <c r="G47" s="29">
        <v>2286255</v>
      </c>
      <c r="H47" s="29">
        <v>2286255</v>
      </c>
      <c r="I47" s="219">
        <f t="shared" si="1"/>
        <v>1</v>
      </c>
    </row>
    <row r="48" spans="1:9" ht="15.75" customHeight="1">
      <c r="A48" s="155"/>
      <c r="B48" s="25"/>
      <c r="C48" s="25" t="s">
        <v>49</v>
      </c>
      <c r="D48" s="369" t="s">
        <v>50</v>
      </c>
      <c r="E48" s="370"/>
      <c r="F48" s="34">
        <f>19500000</f>
        <v>19500000</v>
      </c>
      <c r="G48" s="34">
        <v>20608466</v>
      </c>
      <c r="H48" s="34">
        <v>20608466</v>
      </c>
      <c r="I48" s="219">
        <f t="shared" si="1"/>
        <v>1</v>
      </c>
    </row>
    <row r="49" spans="1:9" ht="15.75" customHeight="1">
      <c r="A49" s="155"/>
      <c r="B49" s="25"/>
      <c r="C49" s="25" t="s">
        <v>336</v>
      </c>
      <c r="D49" s="369" t="s">
        <v>339</v>
      </c>
      <c r="E49" s="370"/>
      <c r="F49" s="34">
        <v>2981992</v>
      </c>
      <c r="G49" s="34">
        <v>0</v>
      </c>
      <c r="H49" s="34">
        <v>0</v>
      </c>
      <c r="I49" s="219"/>
    </row>
    <row r="50" spans="1:9" ht="15.75" customHeight="1">
      <c r="A50" s="155"/>
      <c r="B50" s="25"/>
      <c r="C50" s="25"/>
      <c r="D50" s="25"/>
      <c r="E50" s="25"/>
      <c r="F50" s="29"/>
      <c r="G50" s="29"/>
      <c r="H50" s="29"/>
      <c r="I50" s="219"/>
    </row>
    <row r="51" spans="1:9" ht="15.75" customHeight="1">
      <c r="A51" s="371" t="s">
        <v>83</v>
      </c>
      <c r="B51" s="372"/>
      <c r="C51" s="372"/>
      <c r="D51" s="372"/>
      <c r="E51" s="373"/>
      <c r="F51" s="31">
        <f>F52</f>
        <v>86751622</v>
      </c>
      <c r="G51" s="31">
        <f>G52+G61</f>
        <v>111399635</v>
      </c>
      <c r="H51" s="31">
        <f>H52+H61</f>
        <v>111399635</v>
      </c>
      <c r="I51" s="220">
        <f>H51/G51</f>
        <v>1</v>
      </c>
    </row>
    <row r="52" spans="1:9" ht="15.75" customHeight="1">
      <c r="A52" s="154" t="s">
        <v>4</v>
      </c>
      <c r="B52" s="24"/>
      <c r="C52" s="366" t="s">
        <v>5</v>
      </c>
      <c r="D52" s="367"/>
      <c r="E52" s="368"/>
      <c r="F52" s="32">
        <f>F53</f>
        <v>86751622</v>
      </c>
      <c r="G52" s="32">
        <f>G53</f>
        <v>105412982</v>
      </c>
      <c r="H52" s="32">
        <f>H53</f>
        <v>105412982</v>
      </c>
      <c r="I52" s="219">
        <f t="shared" si="1"/>
        <v>1</v>
      </c>
    </row>
    <row r="53" spans="1:9" ht="15.75" customHeight="1">
      <c r="A53" s="155"/>
      <c r="B53" s="25" t="s">
        <v>84</v>
      </c>
      <c r="C53" s="25"/>
      <c r="D53" s="369" t="s">
        <v>85</v>
      </c>
      <c r="E53" s="370"/>
      <c r="F53" s="29">
        <f>SUM(F54:F59)</f>
        <v>86751622</v>
      </c>
      <c r="G53" s="29">
        <f>SUM(G54:G60)</f>
        <v>105412982</v>
      </c>
      <c r="H53" s="29">
        <f>SUM(H54:H60)</f>
        <v>105412982</v>
      </c>
      <c r="I53" s="219">
        <f t="shared" si="1"/>
        <v>1</v>
      </c>
    </row>
    <row r="54" spans="1:9" ht="15.75" customHeight="1">
      <c r="A54" s="154"/>
      <c r="B54" s="24"/>
      <c r="C54" s="25" t="s">
        <v>86</v>
      </c>
      <c r="D54" s="369" t="s">
        <v>87</v>
      </c>
      <c r="E54" s="370"/>
      <c r="F54" s="29">
        <v>33279625</v>
      </c>
      <c r="G54" s="29">
        <v>33405745</v>
      </c>
      <c r="H54" s="29">
        <v>33405745</v>
      </c>
      <c r="I54" s="219">
        <f t="shared" si="1"/>
        <v>1</v>
      </c>
    </row>
    <row r="55" spans="1:9" ht="15.75" customHeight="1">
      <c r="A55" s="155"/>
      <c r="B55" s="25"/>
      <c r="C55" s="25" t="s">
        <v>88</v>
      </c>
      <c r="D55" s="369" t="s">
        <v>89</v>
      </c>
      <c r="E55" s="370"/>
      <c r="F55" s="29">
        <v>23442820</v>
      </c>
      <c r="G55" s="29">
        <v>23628050</v>
      </c>
      <c r="H55" s="29">
        <v>23628050</v>
      </c>
      <c r="I55" s="219">
        <f t="shared" si="1"/>
        <v>1</v>
      </c>
    </row>
    <row r="56" spans="1:9" ht="15.75" customHeight="1">
      <c r="A56" s="155"/>
      <c r="B56" s="25"/>
      <c r="C56" s="25" t="s">
        <v>352</v>
      </c>
      <c r="D56" s="369" t="s">
        <v>349</v>
      </c>
      <c r="E56" s="370"/>
      <c r="F56" s="29">
        <v>5628000</v>
      </c>
      <c r="G56" s="29">
        <v>5628000</v>
      </c>
      <c r="H56" s="29">
        <v>5628000</v>
      </c>
      <c r="I56" s="219">
        <f t="shared" si="1"/>
        <v>1</v>
      </c>
    </row>
    <row r="57" spans="1:9" ht="15.75" customHeight="1">
      <c r="A57" s="155"/>
      <c r="B57" s="25"/>
      <c r="C57" s="25" t="s">
        <v>351</v>
      </c>
      <c r="D57" s="369" t="s">
        <v>350</v>
      </c>
      <c r="E57" s="370"/>
      <c r="F57" s="29">
        <v>21823217</v>
      </c>
      <c r="G57" s="29">
        <v>23625391</v>
      </c>
      <c r="H57" s="29">
        <v>23625391</v>
      </c>
      <c r="I57" s="219">
        <f t="shared" si="1"/>
        <v>1</v>
      </c>
    </row>
    <row r="58" spans="1:9" ht="15.75" customHeight="1">
      <c r="A58" s="155"/>
      <c r="B58" s="25"/>
      <c r="C58" s="25" t="s">
        <v>90</v>
      </c>
      <c r="D58" s="369" t="s">
        <v>91</v>
      </c>
      <c r="E58" s="370"/>
      <c r="F58" s="33">
        <v>2577960</v>
      </c>
      <c r="G58" s="33">
        <v>2917728</v>
      </c>
      <c r="H58" s="33">
        <v>2917728</v>
      </c>
      <c r="I58" s="219">
        <f t="shared" si="1"/>
        <v>1</v>
      </c>
    </row>
    <row r="59" spans="1:9" ht="15.75" customHeight="1">
      <c r="A59" s="155"/>
      <c r="B59" s="25"/>
      <c r="C59" s="25" t="s">
        <v>390</v>
      </c>
      <c r="D59" s="369" t="s">
        <v>393</v>
      </c>
      <c r="E59" s="370"/>
      <c r="F59" s="33">
        <v>0</v>
      </c>
      <c r="G59" s="33">
        <f>5931118+7214600+1314450</f>
        <v>14460168</v>
      </c>
      <c r="H59" s="33">
        <f>5931118+7214600+1314450</f>
        <v>14460168</v>
      </c>
      <c r="I59" s="219">
        <f t="shared" si="1"/>
        <v>1</v>
      </c>
    </row>
    <row r="60" spans="1:9" ht="15.75" customHeight="1">
      <c r="A60" s="155"/>
      <c r="B60" s="25"/>
      <c r="C60" s="25" t="s">
        <v>395</v>
      </c>
      <c r="D60" s="369" t="s">
        <v>396</v>
      </c>
      <c r="E60" s="370"/>
      <c r="F60" s="33"/>
      <c r="G60" s="33">
        <v>1747900</v>
      </c>
      <c r="H60" s="33">
        <v>1747900</v>
      </c>
      <c r="I60" s="219">
        <f t="shared" si="1"/>
        <v>1</v>
      </c>
    </row>
    <row r="61" spans="1:9" ht="15.75" customHeight="1">
      <c r="A61" s="154" t="s">
        <v>13</v>
      </c>
      <c r="B61" s="25"/>
      <c r="C61" s="366" t="s">
        <v>14</v>
      </c>
      <c r="D61" s="367"/>
      <c r="E61" s="367"/>
      <c r="F61" s="33"/>
      <c r="G61" s="35">
        <f>SUM(G62)</f>
        <v>5986653</v>
      </c>
      <c r="H61" s="35">
        <f>SUM(H62)</f>
        <v>5986653</v>
      </c>
      <c r="I61" s="218">
        <f t="shared" si="1"/>
        <v>1</v>
      </c>
    </row>
    <row r="62" spans="1:9" ht="15.75" customHeight="1">
      <c r="A62" s="155"/>
      <c r="B62" s="25" t="s">
        <v>375</v>
      </c>
      <c r="C62" s="24"/>
      <c r="D62" s="369" t="s">
        <v>391</v>
      </c>
      <c r="E62" s="382"/>
      <c r="F62" s="33"/>
      <c r="G62" s="33">
        <v>5986653</v>
      </c>
      <c r="H62" s="33">
        <v>5986653</v>
      </c>
      <c r="I62" s="219">
        <f t="shared" si="1"/>
        <v>1</v>
      </c>
    </row>
    <row r="63" spans="1:9" ht="15.75" customHeight="1">
      <c r="A63" s="379"/>
      <c r="B63" s="380"/>
      <c r="C63" s="380"/>
      <c r="D63" s="380"/>
      <c r="E63" s="381"/>
      <c r="F63" s="33"/>
      <c r="G63" s="33"/>
      <c r="H63" s="221"/>
      <c r="I63" s="219"/>
    </row>
    <row r="64" spans="1:9" ht="15.75" customHeight="1">
      <c r="A64" s="371" t="s">
        <v>93</v>
      </c>
      <c r="B64" s="372"/>
      <c r="C64" s="372"/>
      <c r="D64" s="372"/>
      <c r="E64" s="373"/>
      <c r="F64" s="31">
        <f aca="true" t="shared" si="2" ref="F64:H65">F65</f>
        <v>6470065</v>
      </c>
      <c r="G64" s="31">
        <f t="shared" si="2"/>
        <v>3005807</v>
      </c>
      <c r="H64" s="31">
        <f t="shared" si="2"/>
        <v>3005807</v>
      </c>
      <c r="I64" s="220">
        <f>H64/G64</f>
        <v>1</v>
      </c>
    </row>
    <row r="65" spans="1:9" ht="15.75" customHeight="1">
      <c r="A65" s="154" t="s">
        <v>20</v>
      </c>
      <c r="B65" s="24"/>
      <c r="C65" s="366" t="s">
        <v>19</v>
      </c>
      <c r="D65" s="367"/>
      <c r="E65" s="368"/>
      <c r="F65" s="29">
        <f t="shared" si="2"/>
        <v>6470065</v>
      </c>
      <c r="G65" s="29">
        <f t="shared" si="2"/>
        <v>3005807</v>
      </c>
      <c r="H65" s="29">
        <f t="shared" si="2"/>
        <v>3005807</v>
      </c>
      <c r="I65" s="219">
        <f t="shared" si="1"/>
        <v>1</v>
      </c>
    </row>
    <row r="66" spans="1:9" ht="15.75" customHeight="1">
      <c r="A66" s="155"/>
      <c r="B66" s="25"/>
      <c r="C66" s="25" t="s">
        <v>94</v>
      </c>
      <c r="D66" s="369" t="s">
        <v>95</v>
      </c>
      <c r="E66" s="370"/>
      <c r="F66" s="29">
        <v>6470065</v>
      </c>
      <c r="G66" s="29">
        <v>3005807</v>
      </c>
      <c r="H66" s="29">
        <v>3005807</v>
      </c>
      <c r="I66" s="219">
        <f t="shared" si="1"/>
        <v>1</v>
      </c>
    </row>
    <row r="67" spans="1:9" ht="15.75" customHeight="1">
      <c r="A67" s="379"/>
      <c r="B67" s="380"/>
      <c r="C67" s="380"/>
      <c r="D67" s="380"/>
      <c r="E67" s="381"/>
      <c r="F67" s="33"/>
      <c r="G67" s="33"/>
      <c r="H67" s="33"/>
      <c r="I67" s="219"/>
    </row>
    <row r="68" spans="1:9" ht="15.75" customHeight="1">
      <c r="A68" s="371" t="s">
        <v>96</v>
      </c>
      <c r="B68" s="372"/>
      <c r="C68" s="372"/>
      <c r="D68" s="372"/>
      <c r="E68" s="373"/>
      <c r="F68" s="31">
        <f>F69+F76+F73</f>
        <v>189451103</v>
      </c>
      <c r="G68" s="31">
        <f>G69+G76+G73</f>
        <v>185451103</v>
      </c>
      <c r="H68" s="31">
        <f>H69+H76+H73</f>
        <v>184882051</v>
      </c>
      <c r="I68" s="222">
        <f>H68/G68</f>
        <v>0.9969315253951334</v>
      </c>
    </row>
    <row r="69" spans="1:9" ht="15.75" customHeight="1">
      <c r="A69" s="154" t="s">
        <v>4</v>
      </c>
      <c r="B69" s="24"/>
      <c r="C69" s="366" t="s">
        <v>5</v>
      </c>
      <c r="D69" s="367"/>
      <c r="E69" s="368"/>
      <c r="F69" s="35">
        <f>F70</f>
        <v>9860939</v>
      </c>
      <c r="G69" s="35">
        <f>G70</f>
        <v>9860939</v>
      </c>
      <c r="H69" s="35">
        <f>H70</f>
        <v>9291887</v>
      </c>
      <c r="I69" s="218">
        <f t="shared" si="1"/>
        <v>0.9422923111074919</v>
      </c>
    </row>
    <row r="70" spans="1:9" ht="15.75" customHeight="1">
      <c r="A70" s="155"/>
      <c r="B70" s="25" t="s">
        <v>46</v>
      </c>
      <c r="C70" s="25"/>
      <c r="D70" s="369" t="s">
        <v>97</v>
      </c>
      <c r="E70" s="370"/>
      <c r="F70" s="33">
        <f>F71+F72</f>
        <v>9860939</v>
      </c>
      <c r="G70" s="33">
        <f>G71+G72</f>
        <v>9860939</v>
      </c>
      <c r="H70" s="33">
        <f>H71+H72</f>
        <v>9291887</v>
      </c>
      <c r="I70" s="219">
        <f t="shared" si="1"/>
        <v>0.9422923111074919</v>
      </c>
    </row>
    <row r="71" spans="1:9" ht="15.75" customHeight="1">
      <c r="A71" s="223"/>
      <c r="B71" s="36"/>
      <c r="C71" s="36"/>
      <c r="D71" s="36"/>
      <c r="E71" s="37" t="s">
        <v>98</v>
      </c>
      <c r="F71" s="33">
        <v>2825339</v>
      </c>
      <c r="G71" s="33">
        <v>2825339</v>
      </c>
      <c r="H71" s="33">
        <v>2265987</v>
      </c>
      <c r="I71" s="219">
        <f t="shared" si="1"/>
        <v>0.8020230492694859</v>
      </c>
    </row>
    <row r="72" spans="1:9" ht="15.75" customHeight="1">
      <c r="A72" s="223"/>
      <c r="B72" s="37" t="s">
        <v>46</v>
      </c>
      <c r="C72" s="36"/>
      <c r="D72" s="36"/>
      <c r="E72" s="25" t="s">
        <v>322</v>
      </c>
      <c r="F72" s="33">
        <v>7035600</v>
      </c>
      <c r="G72" s="33">
        <v>7035600</v>
      </c>
      <c r="H72" s="33">
        <v>7025900</v>
      </c>
      <c r="I72" s="219">
        <f t="shared" si="1"/>
        <v>0.9986212974017852</v>
      </c>
    </row>
    <row r="73" spans="1:9" ht="15.75" customHeight="1">
      <c r="A73" s="154" t="s">
        <v>13</v>
      </c>
      <c r="B73" s="25"/>
      <c r="C73" s="366" t="s">
        <v>14</v>
      </c>
      <c r="D73" s="367"/>
      <c r="E73" s="367"/>
      <c r="F73" s="35">
        <f>SUM(F74)</f>
        <v>0</v>
      </c>
      <c r="G73" s="35">
        <f>SUM(G74:G75)</f>
        <v>0</v>
      </c>
      <c r="H73" s="35">
        <f>SUM(H74:H75)</f>
        <v>0</v>
      </c>
      <c r="I73" s="219"/>
    </row>
    <row r="74" spans="1:9" ht="15.75" customHeight="1">
      <c r="A74" s="155"/>
      <c r="B74" s="25" t="s">
        <v>375</v>
      </c>
      <c r="C74" s="24"/>
      <c r="D74" s="369" t="s">
        <v>391</v>
      </c>
      <c r="E74" s="382"/>
      <c r="F74" s="33">
        <v>0</v>
      </c>
      <c r="G74" s="33">
        <v>0</v>
      </c>
      <c r="H74" s="33">
        <v>0</v>
      </c>
      <c r="I74" s="219"/>
    </row>
    <row r="75" spans="1:9" ht="15.75" customHeight="1">
      <c r="A75" s="155"/>
      <c r="B75" s="25"/>
      <c r="C75" s="24"/>
      <c r="D75" s="369" t="s">
        <v>521</v>
      </c>
      <c r="E75" s="382"/>
      <c r="F75" s="33">
        <v>0</v>
      </c>
      <c r="G75" s="33">
        <v>0</v>
      </c>
      <c r="H75" s="33">
        <v>0</v>
      </c>
      <c r="I75" s="219"/>
    </row>
    <row r="76" spans="1:9" ht="15.75" customHeight="1">
      <c r="A76" s="154" t="s">
        <v>20</v>
      </c>
      <c r="B76" s="24"/>
      <c r="C76" s="366" t="s">
        <v>19</v>
      </c>
      <c r="D76" s="367"/>
      <c r="E76" s="368"/>
      <c r="F76" s="32">
        <f>SUM(F77)</f>
        <v>179590164</v>
      </c>
      <c r="G76" s="32">
        <f>SUM(G77)</f>
        <v>175590164</v>
      </c>
      <c r="H76" s="32">
        <f>SUM(H77)</f>
        <v>175590164</v>
      </c>
      <c r="I76" s="218">
        <f t="shared" si="1"/>
        <v>1</v>
      </c>
    </row>
    <row r="77" spans="1:9" ht="15.75" customHeight="1">
      <c r="A77" s="155"/>
      <c r="B77" s="25" t="s">
        <v>99</v>
      </c>
      <c r="C77" s="25"/>
      <c r="D77" s="369" t="s">
        <v>100</v>
      </c>
      <c r="E77" s="370"/>
      <c r="F77" s="29">
        <f>F78</f>
        <v>179590164</v>
      </c>
      <c r="G77" s="29">
        <f>G78</f>
        <v>175590164</v>
      </c>
      <c r="H77" s="29">
        <f>H78</f>
        <v>175590164</v>
      </c>
      <c r="I77" s="219">
        <f t="shared" si="1"/>
        <v>1</v>
      </c>
    </row>
    <row r="78" spans="1:9" ht="15.75" customHeight="1">
      <c r="A78" s="155"/>
      <c r="B78" s="25"/>
      <c r="C78" s="25" t="s">
        <v>101</v>
      </c>
      <c r="D78" s="25"/>
      <c r="E78" s="25" t="s">
        <v>102</v>
      </c>
      <c r="F78" s="29">
        <v>179590164</v>
      </c>
      <c r="G78" s="29">
        <f>179590164-4000000</f>
        <v>175590164</v>
      </c>
      <c r="H78" s="29">
        <f>179590164-4000000</f>
        <v>175590164</v>
      </c>
      <c r="I78" s="219">
        <f t="shared" si="1"/>
        <v>1</v>
      </c>
    </row>
    <row r="79" spans="1:9" ht="15.75" customHeight="1">
      <c r="A79" s="155"/>
      <c r="B79" s="25"/>
      <c r="C79" s="25"/>
      <c r="D79" s="25"/>
      <c r="E79" s="25"/>
      <c r="F79" s="29"/>
      <c r="G79" s="29"/>
      <c r="H79" s="29"/>
      <c r="I79" s="219"/>
    </row>
    <row r="80" spans="1:9" ht="15.75" customHeight="1">
      <c r="A80" s="224" t="s">
        <v>340</v>
      </c>
      <c r="B80" s="16"/>
      <c r="C80" s="16"/>
      <c r="D80" s="38"/>
      <c r="E80" s="39"/>
      <c r="F80" s="31">
        <f>F82</f>
        <v>2496185</v>
      </c>
      <c r="G80" s="31">
        <f>G82</f>
        <v>2496185</v>
      </c>
      <c r="H80" s="31">
        <f>H82</f>
        <v>2496185</v>
      </c>
      <c r="I80" s="220">
        <f>H80/G80</f>
        <v>1</v>
      </c>
    </row>
    <row r="81" spans="1:9" ht="15.75" customHeight="1">
      <c r="A81" s="154" t="s">
        <v>4</v>
      </c>
      <c r="B81" s="24"/>
      <c r="C81" s="24" t="s">
        <v>5</v>
      </c>
      <c r="D81" s="24"/>
      <c r="E81" s="25"/>
      <c r="F81" s="153">
        <f>SUM(F82)</f>
        <v>2496185</v>
      </c>
      <c r="G81" s="153">
        <f>SUM(G82)</f>
        <v>2496185</v>
      </c>
      <c r="H81" s="153">
        <f>SUM(H82)</f>
        <v>2496185</v>
      </c>
      <c r="I81" s="218">
        <f t="shared" si="1"/>
        <v>1</v>
      </c>
    </row>
    <row r="82" spans="1:9" ht="15.75" customHeight="1">
      <c r="A82" s="155"/>
      <c r="B82" s="25" t="s">
        <v>46</v>
      </c>
      <c r="C82" s="25"/>
      <c r="D82" s="369" t="s">
        <v>97</v>
      </c>
      <c r="E82" s="370"/>
      <c r="F82" s="29">
        <v>2496185</v>
      </c>
      <c r="G82" s="29">
        <v>2496185</v>
      </c>
      <c r="H82" s="29">
        <v>2496185</v>
      </c>
      <c r="I82" s="219">
        <f t="shared" si="1"/>
        <v>1</v>
      </c>
    </row>
    <row r="83" spans="1:9" ht="15.75" customHeight="1">
      <c r="A83" s="379"/>
      <c r="B83" s="380"/>
      <c r="C83" s="380"/>
      <c r="D83" s="380"/>
      <c r="E83" s="381"/>
      <c r="F83" s="29"/>
      <c r="G83" s="29"/>
      <c r="H83" s="29"/>
      <c r="I83" s="219"/>
    </row>
    <row r="84" spans="1:9" ht="15.75" customHeight="1">
      <c r="A84" s="350" t="s">
        <v>308</v>
      </c>
      <c r="B84" s="362"/>
      <c r="C84" s="362"/>
      <c r="D84" s="362"/>
      <c r="E84" s="351"/>
      <c r="F84" s="31">
        <f>F85</f>
        <v>508000</v>
      </c>
      <c r="G84" s="31">
        <f>G85</f>
        <v>830500</v>
      </c>
      <c r="H84" s="31">
        <f>H85</f>
        <v>830500</v>
      </c>
      <c r="I84" s="220">
        <f>H84/G84</f>
        <v>1</v>
      </c>
    </row>
    <row r="85" spans="1:9" ht="15.75" customHeight="1">
      <c r="A85" s="154" t="s">
        <v>8</v>
      </c>
      <c r="B85" s="24"/>
      <c r="C85" s="366" t="s">
        <v>9</v>
      </c>
      <c r="D85" s="367"/>
      <c r="E85" s="368"/>
      <c r="F85" s="32">
        <f>SUM(F86:F87)</f>
        <v>508000</v>
      </c>
      <c r="G85" s="32">
        <f>SUM(G86:G87)</f>
        <v>830500</v>
      </c>
      <c r="H85" s="32">
        <f>SUM(H86:H87)</f>
        <v>830500</v>
      </c>
      <c r="I85" s="219">
        <f aca="true" t="shared" si="3" ref="I85:I137">H85/G85</f>
        <v>1</v>
      </c>
    </row>
    <row r="86" spans="1:9" ht="15.75" customHeight="1">
      <c r="A86" s="155"/>
      <c r="B86" s="25"/>
      <c r="C86" s="25" t="s">
        <v>47</v>
      </c>
      <c r="D86" s="369" t="s">
        <v>111</v>
      </c>
      <c r="E86" s="370"/>
      <c r="F86" s="29">
        <v>400000</v>
      </c>
      <c r="G86" s="29">
        <v>653937</v>
      </c>
      <c r="H86" s="29">
        <v>653937</v>
      </c>
      <c r="I86" s="219">
        <f t="shared" si="3"/>
        <v>1</v>
      </c>
    </row>
    <row r="87" spans="1:9" ht="15.75" customHeight="1">
      <c r="A87" s="155"/>
      <c r="B87" s="25"/>
      <c r="C87" s="25" t="s">
        <v>49</v>
      </c>
      <c r="D87" s="369" t="s">
        <v>50</v>
      </c>
      <c r="E87" s="370"/>
      <c r="F87" s="29">
        <v>108000</v>
      </c>
      <c r="G87" s="29">
        <v>176563</v>
      </c>
      <c r="H87" s="29">
        <v>176563</v>
      </c>
      <c r="I87" s="219">
        <f t="shared" si="3"/>
        <v>1</v>
      </c>
    </row>
    <row r="88" spans="1:9" ht="15.75" customHeight="1">
      <c r="A88" s="155"/>
      <c r="B88" s="25"/>
      <c r="C88" s="25"/>
      <c r="D88" s="25"/>
      <c r="E88" s="25"/>
      <c r="F88" s="29"/>
      <c r="G88" s="29"/>
      <c r="H88" s="29"/>
      <c r="I88" s="219"/>
    </row>
    <row r="89" spans="1:9" ht="15.75" customHeight="1">
      <c r="A89" s="350" t="s">
        <v>104</v>
      </c>
      <c r="B89" s="362"/>
      <c r="C89" s="362"/>
      <c r="D89" s="362"/>
      <c r="E89" s="351"/>
      <c r="F89" s="31">
        <f>F90</f>
        <v>381000</v>
      </c>
      <c r="G89" s="31">
        <f>G90</f>
        <v>495275</v>
      </c>
      <c r="H89" s="31">
        <f>H90</f>
        <v>495275</v>
      </c>
      <c r="I89" s="220">
        <f>H89/G89</f>
        <v>1</v>
      </c>
    </row>
    <row r="90" spans="1:9" ht="15.75" customHeight="1">
      <c r="A90" s="154" t="s">
        <v>8</v>
      </c>
      <c r="B90" s="24"/>
      <c r="C90" s="366" t="s">
        <v>9</v>
      </c>
      <c r="D90" s="367"/>
      <c r="E90" s="368"/>
      <c r="F90" s="32">
        <f>SUM(F91:F92)</f>
        <v>381000</v>
      </c>
      <c r="G90" s="32">
        <f>SUM(G91:G92)</f>
        <v>495275</v>
      </c>
      <c r="H90" s="32">
        <f>SUM(H91:H92)</f>
        <v>495275</v>
      </c>
      <c r="I90" s="219">
        <f t="shared" si="3"/>
        <v>1</v>
      </c>
    </row>
    <row r="91" spans="1:9" ht="15.75" customHeight="1">
      <c r="A91" s="155"/>
      <c r="B91" s="25"/>
      <c r="C91" s="25" t="s">
        <v>105</v>
      </c>
      <c r="D91" s="369" t="s">
        <v>106</v>
      </c>
      <c r="E91" s="370"/>
      <c r="F91" s="29">
        <v>300000</v>
      </c>
      <c r="G91" s="29">
        <v>389986</v>
      </c>
      <c r="H91" s="29">
        <v>389986</v>
      </c>
      <c r="I91" s="219">
        <f t="shared" si="3"/>
        <v>1</v>
      </c>
    </row>
    <row r="92" spans="1:9" ht="15.75" customHeight="1">
      <c r="A92" s="155"/>
      <c r="B92" s="25"/>
      <c r="C92" s="25" t="s">
        <v>49</v>
      </c>
      <c r="D92" s="369" t="s">
        <v>50</v>
      </c>
      <c r="E92" s="370"/>
      <c r="F92" s="29">
        <v>81000</v>
      </c>
      <c r="G92" s="29">
        <v>105289</v>
      </c>
      <c r="H92" s="29">
        <v>105289</v>
      </c>
      <c r="I92" s="219">
        <f t="shared" si="3"/>
        <v>1</v>
      </c>
    </row>
    <row r="93" spans="1:9" ht="15.75" customHeight="1">
      <c r="A93" s="155"/>
      <c r="B93" s="25"/>
      <c r="C93" s="25"/>
      <c r="D93" s="25"/>
      <c r="E93" s="25"/>
      <c r="F93" s="29"/>
      <c r="G93" s="29"/>
      <c r="H93" s="29"/>
      <c r="I93" s="219"/>
    </row>
    <row r="94" spans="1:9" ht="15.75" customHeight="1">
      <c r="A94" s="384" t="s">
        <v>331</v>
      </c>
      <c r="B94" s="385"/>
      <c r="C94" s="385"/>
      <c r="D94" s="385"/>
      <c r="E94" s="386"/>
      <c r="F94" s="165">
        <f>SUM(F95)</f>
        <v>0</v>
      </c>
      <c r="G94" s="165">
        <f>SUM(G95)</f>
        <v>19459810</v>
      </c>
      <c r="H94" s="165">
        <f>SUM(H95)</f>
        <v>19367228</v>
      </c>
      <c r="I94" s="225">
        <f>H94/G94</f>
        <v>0.9952423995917741</v>
      </c>
    </row>
    <row r="95" spans="1:9" ht="15.75" customHeight="1">
      <c r="A95" s="154" t="s">
        <v>13</v>
      </c>
      <c r="B95" s="25"/>
      <c r="C95" s="366" t="s">
        <v>14</v>
      </c>
      <c r="D95" s="367"/>
      <c r="E95" s="367"/>
      <c r="F95" s="32">
        <f>SUM(F96:F98)</f>
        <v>0</v>
      </c>
      <c r="G95" s="32">
        <f>SUM(G96:G99)</f>
        <v>19459810</v>
      </c>
      <c r="H95" s="32">
        <f>SUM(H96:H99)</f>
        <v>19367228</v>
      </c>
      <c r="I95" s="219">
        <f t="shared" si="3"/>
        <v>0.9952423995917741</v>
      </c>
    </row>
    <row r="96" spans="1:9" ht="15.75" customHeight="1">
      <c r="A96" s="155"/>
      <c r="B96" s="25" t="s">
        <v>375</v>
      </c>
      <c r="C96" s="24"/>
      <c r="D96" s="369" t="s">
        <v>376</v>
      </c>
      <c r="E96" s="382"/>
      <c r="F96" s="29">
        <v>0</v>
      </c>
      <c r="G96" s="29">
        <v>5664127</v>
      </c>
      <c r="H96" s="29">
        <v>5664127</v>
      </c>
      <c r="I96" s="219">
        <f t="shared" si="3"/>
        <v>1</v>
      </c>
    </row>
    <row r="97" spans="1:9" ht="15.75" customHeight="1">
      <c r="A97" s="155"/>
      <c r="B97" s="25"/>
      <c r="C97" s="25"/>
      <c r="D97" s="369" t="s">
        <v>384</v>
      </c>
      <c r="E97" s="382"/>
      <c r="F97" s="29">
        <v>0</v>
      </c>
      <c r="G97" s="29">
        <f>9499663</f>
        <v>9499663</v>
      </c>
      <c r="H97" s="29">
        <v>9407081</v>
      </c>
      <c r="I97" s="219">
        <f t="shared" si="3"/>
        <v>0.9902541805956695</v>
      </c>
    </row>
    <row r="98" spans="1:9" ht="15.75" customHeight="1">
      <c r="A98" s="155"/>
      <c r="B98" s="25"/>
      <c r="C98" s="25"/>
      <c r="D98" s="369" t="s">
        <v>407</v>
      </c>
      <c r="E98" s="382"/>
      <c r="F98" s="29">
        <v>0</v>
      </c>
      <c r="G98" s="29">
        <v>1851674</v>
      </c>
      <c r="H98" s="29">
        <v>1851674</v>
      </c>
      <c r="I98" s="219">
        <f t="shared" si="3"/>
        <v>1</v>
      </c>
    </row>
    <row r="99" spans="1:9" ht="15.75" customHeight="1">
      <c r="A99" s="155"/>
      <c r="B99" s="25"/>
      <c r="C99" s="25"/>
      <c r="D99" s="369" t="s">
        <v>408</v>
      </c>
      <c r="E99" s="382"/>
      <c r="F99" s="29">
        <v>0</v>
      </c>
      <c r="G99" s="29">
        <v>2444346</v>
      </c>
      <c r="H99" s="29">
        <v>2444346</v>
      </c>
      <c r="I99" s="219">
        <f t="shared" si="3"/>
        <v>1</v>
      </c>
    </row>
    <row r="100" spans="1:9" ht="15.75" customHeight="1">
      <c r="A100" s="155"/>
      <c r="B100" s="25"/>
      <c r="C100" s="25"/>
      <c r="D100" s="25"/>
      <c r="E100" s="25"/>
      <c r="F100" s="29"/>
      <c r="G100" s="29"/>
      <c r="H100" s="29"/>
      <c r="I100" s="219"/>
    </row>
    <row r="101" spans="1:9" ht="15.75" customHeight="1">
      <c r="A101" s="350" t="s">
        <v>353</v>
      </c>
      <c r="B101" s="362"/>
      <c r="C101" s="362"/>
      <c r="D101" s="362"/>
      <c r="E101" s="383"/>
      <c r="F101" s="109">
        <f aca="true" t="shared" si="4" ref="F101:H102">SUM(F102)</f>
        <v>1206238</v>
      </c>
      <c r="G101" s="109">
        <f t="shared" si="4"/>
        <v>1206238</v>
      </c>
      <c r="H101" s="109">
        <f t="shared" si="4"/>
        <v>1156239</v>
      </c>
      <c r="I101" s="226">
        <f>H101/G101</f>
        <v>0.9585496394575531</v>
      </c>
    </row>
    <row r="102" spans="1:9" ht="15.75" customHeight="1">
      <c r="A102" s="154" t="s">
        <v>8</v>
      </c>
      <c r="B102" s="24"/>
      <c r="C102" s="366" t="s">
        <v>9</v>
      </c>
      <c r="D102" s="367"/>
      <c r="E102" s="387"/>
      <c r="F102" s="88">
        <f t="shared" si="4"/>
        <v>1206238</v>
      </c>
      <c r="G102" s="88">
        <f t="shared" si="4"/>
        <v>1206238</v>
      </c>
      <c r="H102" s="88">
        <f t="shared" si="4"/>
        <v>1156239</v>
      </c>
      <c r="I102" s="219">
        <f t="shared" si="3"/>
        <v>0.9585496394575531</v>
      </c>
    </row>
    <row r="103" spans="1:9" ht="15.75" customHeight="1">
      <c r="A103" s="155"/>
      <c r="B103" s="25"/>
      <c r="C103" s="25" t="s">
        <v>354</v>
      </c>
      <c r="D103" s="369" t="s">
        <v>355</v>
      </c>
      <c r="E103" s="388"/>
      <c r="F103" s="145">
        <v>1206238</v>
      </c>
      <c r="G103" s="145">
        <v>1206238</v>
      </c>
      <c r="H103" s="145">
        <v>1156239</v>
      </c>
      <c r="I103" s="219">
        <f t="shared" si="3"/>
        <v>0.9585496394575531</v>
      </c>
    </row>
    <row r="104" spans="1:9" ht="15.75" customHeight="1">
      <c r="A104" s="155"/>
      <c r="B104" s="25"/>
      <c r="C104" s="25"/>
      <c r="D104" s="170"/>
      <c r="E104" s="172"/>
      <c r="F104" s="173"/>
      <c r="G104" s="145"/>
      <c r="H104" s="145"/>
      <c r="I104" s="219"/>
    </row>
    <row r="105" spans="1:9" ht="15.75" customHeight="1">
      <c r="A105" s="393" t="s">
        <v>409</v>
      </c>
      <c r="B105" s="362"/>
      <c r="C105" s="394"/>
      <c r="D105" s="394"/>
      <c r="E105" s="395"/>
      <c r="F105" s="109">
        <f aca="true" t="shared" si="5" ref="F105:H106">SUM(F106)</f>
        <v>0</v>
      </c>
      <c r="G105" s="109">
        <f t="shared" si="5"/>
        <v>280670</v>
      </c>
      <c r="H105" s="109">
        <f t="shared" si="5"/>
        <v>280670</v>
      </c>
      <c r="I105" s="226">
        <f>H105/G105</f>
        <v>1</v>
      </c>
    </row>
    <row r="106" spans="1:9" ht="15.75" customHeight="1">
      <c r="A106" s="227" t="s">
        <v>17</v>
      </c>
      <c r="B106" s="174"/>
      <c r="C106" s="396" t="s">
        <v>412</v>
      </c>
      <c r="D106" s="397"/>
      <c r="E106" s="397"/>
      <c r="F106" s="145">
        <f t="shared" si="5"/>
        <v>0</v>
      </c>
      <c r="G106" s="145">
        <f t="shared" si="5"/>
        <v>280670</v>
      </c>
      <c r="H106" s="145">
        <f t="shared" si="5"/>
        <v>280670</v>
      </c>
      <c r="I106" s="219">
        <f t="shared" si="3"/>
        <v>1</v>
      </c>
    </row>
    <row r="107" spans="1:9" ht="15.75" customHeight="1">
      <c r="A107" s="228"/>
      <c r="B107" s="174"/>
      <c r="C107" s="178" t="s">
        <v>410</v>
      </c>
      <c r="D107" s="398" t="s">
        <v>411</v>
      </c>
      <c r="E107" s="399"/>
      <c r="F107" s="176">
        <v>0</v>
      </c>
      <c r="G107" s="177">
        <v>280670</v>
      </c>
      <c r="H107" s="177">
        <v>280670</v>
      </c>
      <c r="I107" s="219">
        <f t="shared" si="3"/>
        <v>1</v>
      </c>
    </row>
    <row r="108" spans="1:9" ht="15.75" customHeight="1">
      <c r="A108" s="155"/>
      <c r="B108" s="25"/>
      <c r="C108" s="25"/>
      <c r="D108" s="25"/>
      <c r="E108" s="25"/>
      <c r="F108" s="175"/>
      <c r="G108" s="175"/>
      <c r="H108" s="175"/>
      <c r="I108" s="219"/>
    </row>
    <row r="109" spans="1:9" ht="15.75" customHeight="1">
      <c r="A109" s="350" t="s">
        <v>110</v>
      </c>
      <c r="B109" s="362"/>
      <c r="C109" s="362"/>
      <c r="D109" s="362"/>
      <c r="E109" s="351"/>
      <c r="F109" s="31">
        <f>F110</f>
        <v>97462365</v>
      </c>
      <c r="G109" s="31">
        <f>G110</f>
        <v>87992981</v>
      </c>
      <c r="H109" s="31">
        <f>H110</f>
        <v>88427585</v>
      </c>
      <c r="I109" s="222">
        <f>H109/G109</f>
        <v>1.0049390757656</v>
      </c>
    </row>
    <row r="110" spans="1:9" ht="15.75" customHeight="1">
      <c r="A110" s="154" t="s">
        <v>8</v>
      </c>
      <c r="B110" s="24"/>
      <c r="C110" s="366" t="s">
        <v>9</v>
      </c>
      <c r="D110" s="367"/>
      <c r="E110" s="368"/>
      <c r="F110" s="29">
        <f>SUM(F111:F113)</f>
        <v>97462365</v>
      </c>
      <c r="G110" s="29">
        <f>SUM(G111:G113)</f>
        <v>87992981</v>
      </c>
      <c r="H110" s="29">
        <f>SUM(H111:H113)</f>
        <v>88427585</v>
      </c>
      <c r="I110" s="219">
        <f t="shared" si="3"/>
        <v>1.0049390757656</v>
      </c>
    </row>
    <row r="111" spans="1:9" ht="15.75" customHeight="1">
      <c r="A111" s="155"/>
      <c r="B111" s="25"/>
      <c r="C111" s="25" t="s">
        <v>47</v>
      </c>
      <c r="D111" s="369" t="s">
        <v>111</v>
      </c>
      <c r="E111" s="370"/>
      <c r="F111" s="29">
        <v>30000000</v>
      </c>
      <c r="G111" s="29">
        <v>33500000</v>
      </c>
      <c r="H111" s="29">
        <f>33806606+50551</f>
        <v>33857157</v>
      </c>
      <c r="I111" s="219">
        <f t="shared" si="3"/>
        <v>1.0106614029850747</v>
      </c>
    </row>
    <row r="112" spans="1:9" ht="15.75" customHeight="1">
      <c r="A112" s="155"/>
      <c r="B112" s="25"/>
      <c r="C112" s="25" t="s">
        <v>49</v>
      </c>
      <c r="D112" s="369" t="s">
        <v>50</v>
      </c>
      <c r="E112" s="370"/>
      <c r="F112" s="29">
        <v>8100000</v>
      </c>
      <c r="G112" s="29">
        <v>9063616</v>
      </c>
      <c r="H112" s="29">
        <f>9127779+13649</f>
        <v>9141428</v>
      </c>
      <c r="I112" s="219">
        <f t="shared" si="3"/>
        <v>1.0085850945141541</v>
      </c>
    </row>
    <row r="113" spans="1:9" ht="15.75" customHeight="1">
      <c r="A113" s="155"/>
      <c r="B113" s="25"/>
      <c r="C113" s="25" t="s">
        <v>336</v>
      </c>
      <c r="D113" s="369" t="s">
        <v>339</v>
      </c>
      <c r="E113" s="370"/>
      <c r="F113" s="29">
        <v>59362365</v>
      </c>
      <c r="G113" s="29">
        <v>45429365</v>
      </c>
      <c r="H113" s="29">
        <v>45429000</v>
      </c>
      <c r="I113" s="219">
        <f t="shared" si="3"/>
        <v>0.9999919655491553</v>
      </c>
    </row>
    <row r="114" spans="1:9" ht="15.75" customHeight="1">
      <c r="A114" s="155"/>
      <c r="B114" s="25"/>
      <c r="C114" s="25"/>
      <c r="D114" s="25"/>
      <c r="E114" s="25"/>
      <c r="F114" s="29"/>
      <c r="G114" s="29"/>
      <c r="H114" s="29"/>
      <c r="I114" s="219"/>
    </row>
    <row r="115" spans="1:9" ht="15.75" customHeight="1">
      <c r="A115" s="350" t="s">
        <v>112</v>
      </c>
      <c r="B115" s="362"/>
      <c r="C115" s="362"/>
      <c r="D115" s="362"/>
      <c r="E115" s="351"/>
      <c r="F115" s="31">
        <f>SUM(F116)</f>
        <v>127000</v>
      </c>
      <c r="G115" s="31">
        <f>SUM(G116)</f>
        <v>127000</v>
      </c>
      <c r="H115" s="31">
        <f>SUM(H116)</f>
        <v>91570</v>
      </c>
      <c r="I115" s="220">
        <f>H115/G115</f>
        <v>0.7210236220472441</v>
      </c>
    </row>
    <row r="116" spans="1:9" ht="15.75" customHeight="1">
      <c r="A116" s="154" t="s">
        <v>8</v>
      </c>
      <c r="B116" s="24"/>
      <c r="C116" s="366" t="s">
        <v>9</v>
      </c>
      <c r="D116" s="367"/>
      <c r="E116" s="368"/>
      <c r="F116" s="29">
        <f>SUM(F117:F118)</f>
        <v>127000</v>
      </c>
      <c r="G116" s="29">
        <f>SUM(G117:G118)</f>
        <v>127000</v>
      </c>
      <c r="H116" s="29">
        <f>SUM(H117:H118)</f>
        <v>91570</v>
      </c>
      <c r="I116" s="219">
        <f t="shared" si="3"/>
        <v>0.7210236220472441</v>
      </c>
    </row>
    <row r="117" spans="1:9" ht="15.75" customHeight="1">
      <c r="A117" s="155"/>
      <c r="B117" s="25"/>
      <c r="C117" s="25" t="s">
        <v>47</v>
      </c>
      <c r="D117" s="369" t="s">
        <v>111</v>
      </c>
      <c r="E117" s="370"/>
      <c r="F117" s="29">
        <v>100000</v>
      </c>
      <c r="G117" s="29">
        <v>100000</v>
      </c>
      <c r="H117" s="29">
        <v>72102</v>
      </c>
      <c r="I117" s="219">
        <f t="shared" si="3"/>
        <v>0.72102</v>
      </c>
    </row>
    <row r="118" spans="1:9" ht="15.75" customHeight="1">
      <c r="A118" s="155"/>
      <c r="B118" s="25"/>
      <c r="C118" s="25" t="s">
        <v>49</v>
      </c>
      <c r="D118" s="369" t="s">
        <v>50</v>
      </c>
      <c r="E118" s="370"/>
      <c r="F118" s="29">
        <v>27000</v>
      </c>
      <c r="G118" s="29">
        <v>27000</v>
      </c>
      <c r="H118" s="29">
        <v>19468</v>
      </c>
      <c r="I118" s="219">
        <f t="shared" si="3"/>
        <v>0.721037037037037</v>
      </c>
    </row>
    <row r="119" spans="1:9" ht="15.75" customHeight="1">
      <c r="A119" s="155"/>
      <c r="B119" s="25"/>
      <c r="C119" s="25"/>
      <c r="D119" s="170"/>
      <c r="E119" s="171"/>
      <c r="F119" s="29"/>
      <c r="G119" s="29"/>
      <c r="H119" s="29"/>
      <c r="I119" s="219"/>
    </row>
    <row r="120" spans="1:9" ht="15.75" customHeight="1">
      <c r="A120" s="350" t="s">
        <v>145</v>
      </c>
      <c r="B120" s="362"/>
      <c r="C120" s="362"/>
      <c r="D120" s="362"/>
      <c r="E120" s="351"/>
      <c r="F120" s="31">
        <f>SUM(F121)</f>
        <v>0</v>
      </c>
      <c r="G120" s="31">
        <f>G121+G123</f>
        <v>6037000</v>
      </c>
      <c r="H120" s="31">
        <f>H121+H123</f>
        <v>6037000</v>
      </c>
      <c r="I120" s="220">
        <f>H120/G120</f>
        <v>1</v>
      </c>
    </row>
    <row r="121" spans="1:9" ht="15.75" customHeight="1">
      <c r="A121" s="154" t="s">
        <v>4</v>
      </c>
      <c r="B121" s="24"/>
      <c r="C121" s="366" t="s">
        <v>5</v>
      </c>
      <c r="D121" s="367"/>
      <c r="E121" s="368"/>
      <c r="F121" s="29">
        <f>SUM(F122)</f>
        <v>0</v>
      </c>
      <c r="G121" s="29">
        <f>SUM(G122)</f>
        <v>6000000</v>
      </c>
      <c r="H121" s="29">
        <f>SUM(H122)</f>
        <v>6000000</v>
      </c>
      <c r="I121" s="219">
        <f t="shared" si="3"/>
        <v>1</v>
      </c>
    </row>
    <row r="122" spans="1:9" ht="15.75" customHeight="1">
      <c r="A122" s="155"/>
      <c r="B122" s="25" t="s">
        <v>46</v>
      </c>
      <c r="C122" s="25"/>
      <c r="D122" s="369" t="s">
        <v>97</v>
      </c>
      <c r="E122" s="370"/>
      <c r="F122" s="29">
        <v>0</v>
      </c>
      <c r="G122" s="29">
        <v>6000000</v>
      </c>
      <c r="H122" s="29">
        <v>6000000</v>
      </c>
      <c r="I122" s="219">
        <f t="shared" si="3"/>
        <v>1</v>
      </c>
    </row>
    <row r="123" spans="1:9" ht="15.75" customHeight="1">
      <c r="A123" s="154" t="s">
        <v>8</v>
      </c>
      <c r="B123" s="24"/>
      <c r="C123" s="366" t="s">
        <v>9</v>
      </c>
      <c r="D123" s="367"/>
      <c r="E123" s="368"/>
      <c r="F123" s="32">
        <f>SUM(F124:F125)</f>
        <v>0</v>
      </c>
      <c r="G123" s="29">
        <f>SUM(G124:G125)</f>
        <v>37000</v>
      </c>
      <c r="H123" s="29">
        <f>SUM(H124:H125)</f>
        <v>37000</v>
      </c>
      <c r="I123" s="219">
        <f t="shared" si="3"/>
        <v>1</v>
      </c>
    </row>
    <row r="124" spans="1:9" ht="15.75" customHeight="1">
      <c r="A124" s="155"/>
      <c r="B124" s="25"/>
      <c r="C124" s="25" t="s">
        <v>47</v>
      </c>
      <c r="D124" s="369" t="s">
        <v>111</v>
      </c>
      <c r="E124" s="370"/>
      <c r="F124" s="29">
        <v>0</v>
      </c>
      <c r="G124" s="29">
        <v>29133</v>
      </c>
      <c r="H124" s="29">
        <v>29133</v>
      </c>
      <c r="I124" s="219">
        <f t="shared" si="3"/>
        <v>1</v>
      </c>
    </row>
    <row r="125" spans="1:9" ht="15.75" customHeight="1">
      <c r="A125" s="155"/>
      <c r="B125" s="25"/>
      <c r="C125" s="25" t="s">
        <v>49</v>
      </c>
      <c r="D125" s="369" t="s">
        <v>50</v>
      </c>
      <c r="E125" s="370"/>
      <c r="F125" s="29">
        <v>0</v>
      </c>
      <c r="G125" s="29">
        <v>7867</v>
      </c>
      <c r="H125" s="29">
        <v>7867</v>
      </c>
      <c r="I125" s="219">
        <f t="shared" si="3"/>
        <v>1</v>
      </c>
    </row>
    <row r="126" spans="1:9" ht="15.75" customHeight="1">
      <c r="A126" s="155"/>
      <c r="B126" s="25"/>
      <c r="C126" s="392"/>
      <c r="D126" s="380"/>
      <c r="E126" s="381"/>
      <c r="F126" s="29"/>
      <c r="G126" s="29"/>
      <c r="H126" s="29"/>
      <c r="I126" s="219"/>
    </row>
    <row r="127" spans="1:9" ht="15.75" customHeight="1">
      <c r="A127" s="229"/>
      <c r="B127" s="30"/>
      <c r="C127" s="30" t="s">
        <v>113</v>
      </c>
      <c r="D127" s="30"/>
      <c r="E127" s="30"/>
      <c r="F127" s="31">
        <f>F10+F40+F51+F68+F89+F109+F115+F22+F35+F64+F84+F80+F101+F94</f>
        <v>617400070</v>
      </c>
      <c r="G127" s="31">
        <f>G10+G40+G51+G68+G89+G109+G115+G22+G35+G64+G84+G80+G101+G94+G120+G105</f>
        <v>655950691</v>
      </c>
      <c r="H127" s="31">
        <f>H10+H40+H51+H68+H89+H109+H115+H22+H35+H64+H84+H80+H101+H94+H120+H105</f>
        <v>656362785</v>
      </c>
      <c r="I127" s="220">
        <f>H127/G127</f>
        <v>1.0006282392955053</v>
      </c>
    </row>
    <row r="128" spans="1:9" ht="15.75" customHeight="1">
      <c r="A128" s="155"/>
      <c r="B128" s="25"/>
      <c r="C128" s="24"/>
      <c r="D128" s="25"/>
      <c r="E128" s="25"/>
      <c r="F128" s="32"/>
      <c r="G128" s="221"/>
      <c r="H128" s="221"/>
      <c r="I128" s="219"/>
    </row>
    <row r="129" spans="1:9" ht="15.75" customHeight="1">
      <c r="A129" s="154" t="s">
        <v>4</v>
      </c>
      <c r="B129" s="24"/>
      <c r="C129" s="366" t="s">
        <v>5</v>
      </c>
      <c r="D129" s="367"/>
      <c r="E129" s="368"/>
      <c r="F129" s="29">
        <f>F52++F69+F80</f>
        <v>99108746</v>
      </c>
      <c r="G129" s="29">
        <f>G52+G69+G80+G121</f>
        <v>123770106</v>
      </c>
      <c r="H129" s="29">
        <f>H52+H69+H80+H121</f>
        <v>123201054</v>
      </c>
      <c r="I129" s="219">
        <f t="shared" si="3"/>
        <v>0.995402346993223</v>
      </c>
    </row>
    <row r="130" spans="1:9" ht="15.75" customHeight="1">
      <c r="A130" s="154" t="s">
        <v>13</v>
      </c>
      <c r="B130" s="24"/>
      <c r="C130" s="366" t="s">
        <v>14</v>
      </c>
      <c r="D130" s="367"/>
      <c r="E130" s="368"/>
      <c r="F130" s="29">
        <f>F41+F95+F73</f>
        <v>13000000</v>
      </c>
      <c r="G130" s="29">
        <f>G62+G95</f>
        <v>25446463</v>
      </c>
      <c r="H130" s="29">
        <f>H62+H95</f>
        <v>25353881</v>
      </c>
      <c r="I130" s="219">
        <f t="shared" si="3"/>
        <v>0.9963616947471245</v>
      </c>
    </row>
    <row r="131" spans="1:9" ht="15.75" customHeight="1">
      <c r="A131" s="154" t="s">
        <v>6</v>
      </c>
      <c r="B131" s="24"/>
      <c r="C131" s="366" t="s">
        <v>7</v>
      </c>
      <c r="D131" s="367"/>
      <c r="E131" s="368"/>
      <c r="F131" s="29">
        <f>F23+F11</f>
        <v>121500000</v>
      </c>
      <c r="G131" s="29">
        <f>G23+G11</f>
        <v>137814182</v>
      </c>
      <c r="H131" s="29">
        <f>H23+H11</f>
        <v>138797062</v>
      </c>
      <c r="I131" s="219">
        <f t="shared" si="3"/>
        <v>1.0071319220252672</v>
      </c>
    </row>
    <row r="132" spans="1:9" ht="15.75" customHeight="1">
      <c r="A132" s="154" t="s">
        <v>8</v>
      </c>
      <c r="B132" s="24"/>
      <c r="C132" s="366" t="s">
        <v>9</v>
      </c>
      <c r="D132" s="367"/>
      <c r="E132" s="368"/>
      <c r="F132" s="29">
        <f>F13+F43+F90+F110+F116+F36+F85+F102</f>
        <v>196931095</v>
      </c>
      <c r="G132" s="29">
        <f>G13+G43+G90+G110+G116+G36+G85+G102+G123</f>
        <v>189243299</v>
      </c>
      <c r="H132" s="29">
        <f>H13+H43+H90+H110+H116+H36+H85+H102+H123</f>
        <v>189486595</v>
      </c>
      <c r="I132" s="219">
        <f t="shared" si="3"/>
        <v>1.00128562544241</v>
      </c>
    </row>
    <row r="133" spans="1:9" ht="15.75" customHeight="1">
      <c r="A133" s="154" t="s">
        <v>15</v>
      </c>
      <c r="B133" s="24"/>
      <c r="C133" s="366" t="s">
        <v>16</v>
      </c>
      <c r="D133" s="367"/>
      <c r="E133" s="368"/>
      <c r="F133" s="29">
        <f>F17</f>
        <v>600000</v>
      </c>
      <c r="G133" s="29">
        <f>G17</f>
        <v>600000</v>
      </c>
      <c r="H133" s="29">
        <f>H17</f>
        <v>587550</v>
      </c>
      <c r="I133" s="219">
        <f t="shared" si="3"/>
        <v>0.97925</v>
      </c>
    </row>
    <row r="134" spans="1:9" ht="15.75" customHeight="1">
      <c r="A134" s="154" t="s">
        <v>10</v>
      </c>
      <c r="B134" s="24"/>
      <c r="C134" s="366" t="s">
        <v>11</v>
      </c>
      <c r="D134" s="367"/>
      <c r="E134" s="368"/>
      <c r="F134" s="29">
        <f>F19</f>
        <v>200000</v>
      </c>
      <c r="G134" s="29">
        <f>G19</f>
        <v>200000</v>
      </c>
      <c r="H134" s="29">
        <f>H19</f>
        <v>60002</v>
      </c>
      <c r="I134" s="219">
        <f t="shared" si="3"/>
        <v>0.30001</v>
      </c>
    </row>
    <row r="135" spans="1:9" ht="15.75" customHeight="1">
      <c r="A135" s="154" t="s">
        <v>17</v>
      </c>
      <c r="B135" s="24"/>
      <c r="C135" s="366" t="s">
        <v>18</v>
      </c>
      <c r="D135" s="367"/>
      <c r="E135" s="368"/>
      <c r="F135" s="29">
        <v>0</v>
      </c>
      <c r="G135" s="29">
        <f>G106</f>
        <v>280670</v>
      </c>
      <c r="H135" s="29">
        <f>H106</f>
        <v>280670</v>
      </c>
      <c r="I135" s="219">
        <f t="shared" si="3"/>
        <v>1</v>
      </c>
    </row>
    <row r="136" spans="1:9" ht="15.75" customHeight="1">
      <c r="A136" s="154" t="s">
        <v>20</v>
      </c>
      <c r="B136" s="24"/>
      <c r="C136" s="366" t="s">
        <v>19</v>
      </c>
      <c r="D136" s="367"/>
      <c r="E136" s="368"/>
      <c r="F136" s="29">
        <f>F76+F66</f>
        <v>186060229</v>
      </c>
      <c r="G136" s="29">
        <f>G76+G66</f>
        <v>178595971</v>
      </c>
      <c r="H136" s="29">
        <f>H76+H66</f>
        <v>178595971</v>
      </c>
      <c r="I136" s="219">
        <f t="shared" si="3"/>
        <v>1</v>
      </c>
    </row>
    <row r="137" spans="1:9" ht="15.75" customHeight="1" thickBot="1">
      <c r="A137" s="230"/>
      <c r="B137" s="231"/>
      <c r="C137" s="389" t="s">
        <v>113</v>
      </c>
      <c r="D137" s="390"/>
      <c r="E137" s="391"/>
      <c r="F137" s="232">
        <f>SUM(F129:F136)</f>
        <v>617400070</v>
      </c>
      <c r="G137" s="232">
        <f>SUM(G129:G136)</f>
        <v>655950691</v>
      </c>
      <c r="H137" s="232">
        <f>SUM(H129:H136)</f>
        <v>656362785</v>
      </c>
      <c r="I137" s="233">
        <f t="shared" si="3"/>
        <v>1.0006282392955053</v>
      </c>
    </row>
  </sheetData>
  <sheetProtection selectLockedCells="1" selectUnlockedCells="1"/>
  <mergeCells count="109">
    <mergeCell ref="A120:E120"/>
    <mergeCell ref="C121:E121"/>
    <mergeCell ref="C126:E126"/>
    <mergeCell ref="D82:E82"/>
    <mergeCell ref="D122:E122"/>
    <mergeCell ref="D99:E99"/>
    <mergeCell ref="A105:E105"/>
    <mergeCell ref="C106:E106"/>
    <mergeCell ref="D107:E107"/>
    <mergeCell ref="C123:E123"/>
    <mergeCell ref="C134:E134"/>
    <mergeCell ref="C135:E135"/>
    <mergeCell ref="C136:E136"/>
    <mergeCell ref="C137:E137"/>
    <mergeCell ref="D118:E118"/>
    <mergeCell ref="C129:E129"/>
    <mergeCell ref="C130:E130"/>
    <mergeCell ref="C131:E131"/>
    <mergeCell ref="C132:E132"/>
    <mergeCell ref="C133:E133"/>
    <mergeCell ref="D111:E111"/>
    <mergeCell ref="D112:E112"/>
    <mergeCell ref="D113:E113"/>
    <mergeCell ref="A115:E115"/>
    <mergeCell ref="C116:E116"/>
    <mergeCell ref="D117:E117"/>
    <mergeCell ref="D124:E124"/>
    <mergeCell ref="D125:E125"/>
    <mergeCell ref="A101:E101"/>
    <mergeCell ref="A94:E94"/>
    <mergeCell ref="C102:E102"/>
    <mergeCell ref="D103:E103"/>
    <mergeCell ref="A109:E109"/>
    <mergeCell ref="C110:E110"/>
    <mergeCell ref="D97:E97"/>
    <mergeCell ref="D98:E98"/>
    <mergeCell ref="D96:E96"/>
    <mergeCell ref="D86:E86"/>
    <mergeCell ref="D87:E87"/>
    <mergeCell ref="A89:E89"/>
    <mergeCell ref="C90:E90"/>
    <mergeCell ref="D91:E91"/>
    <mergeCell ref="D92:E92"/>
    <mergeCell ref="A83:E83"/>
    <mergeCell ref="A84:E84"/>
    <mergeCell ref="C85:E85"/>
    <mergeCell ref="C73:E73"/>
    <mergeCell ref="D74:E74"/>
    <mergeCell ref="C95:E95"/>
    <mergeCell ref="D70:E70"/>
    <mergeCell ref="C76:E76"/>
    <mergeCell ref="D75:E75"/>
    <mergeCell ref="C69:E69"/>
    <mergeCell ref="A68:E68"/>
    <mergeCell ref="D77:E77"/>
    <mergeCell ref="A63:E63"/>
    <mergeCell ref="C61:E61"/>
    <mergeCell ref="D62:E62"/>
    <mergeCell ref="A64:E64"/>
    <mergeCell ref="C65:E65"/>
    <mergeCell ref="A67:E67"/>
    <mergeCell ref="D66:E66"/>
    <mergeCell ref="D55:E55"/>
    <mergeCell ref="D56:E56"/>
    <mergeCell ref="D57:E57"/>
    <mergeCell ref="D58:E58"/>
    <mergeCell ref="D59:E59"/>
    <mergeCell ref="D60:E60"/>
    <mergeCell ref="D48:E48"/>
    <mergeCell ref="D49:E49"/>
    <mergeCell ref="A51:E51"/>
    <mergeCell ref="C52:E52"/>
    <mergeCell ref="D53:E53"/>
    <mergeCell ref="D54:E54"/>
    <mergeCell ref="A40:E40"/>
    <mergeCell ref="C41:E41"/>
    <mergeCell ref="C43:E43"/>
    <mergeCell ref="D44:E44"/>
    <mergeCell ref="D42:E42"/>
    <mergeCell ref="D47:E47"/>
    <mergeCell ref="D30:E30"/>
    <mergeCell ref="D32:E32"/>
    <mergeCell ref="D24:E24"/>
    <mergeCell ref="A22:E22"/>
    <mergeCell ref="A35:E35"/>
    <mergeCell ref="C36:E36"/>
    <mergeCell ref="D28:E28"/>
    <mergeCell ref="C23:E23"/>
    <mergeCell ref="D18:E18"/>
    <mergeCell ref="D14:E14"/>
    <mergeCell ref="D27:E27"/>
    <mergeCell ref="D16:E16"/>
    <mergeCell ref="C19:E19"/>
    <mergeCell ref="D20:E20"/>
    <mergeCell ref="A10:E10"/>
    <mergeCell ref="B11:E11"/>
    <mergeCell ref="H8:H9"/>
    <mergeCell ref="F8:F9"/>
    <mergeCell ref="C17:E17"/>
    <mergeCell ref="C12:E12"/>
    <mergeCell ref="C13:E13"/>
    <mergeCell ref="D15:E15"/>
    <mergeCell ref="I8:I9"/>
    <mergeCell ref="A1:I1"/>
    <mergeCell ref="A3:I3"/>
    <mergeCell ref="A4:I4"/>
    <mergeCell ref="A5:I5"/>
    <mergeCell ref="G8:G9"/>
    <mergeCell ref="A8:E9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61" r:id="rId1"/>
  <rowBreaks count="1" manualBreakCount="1">
    <brk id="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SheetLayoutView="100" zoomScalePageLayoutView="0" workbookViewId="0" topLeftCell="A40">
      <selection activeCell="E43" sqref="E43"/>
    </sheetView>
  </sheetViews>
  <sheetFormatPr defaultColWidth="9.140625" defaultRowHeight="12.75"/>
  <cols>
    <col min="1" max="1" width="4.28125" style="1" customWidth="1"/>
    <col min="2" max="2" width="4.7109375" style="1" customWidth="1"/>
    <col min="3" max="3" width="7.00390625" style="1" customWidth="1"/>
    <col min="4" max="4" width="4.421875" style="1" customWidth="1"/>
    <col min="5" max="5" width="48.8515625" style="1" bestFit="1" customWidth="1"/>
    <col min="6" max="6" width="11.140625" style="1" bestFit="1" customWidth="1"/>
    <col min="7" max="7" width="15.00390625" style="1" customWidth="1"/>
    <col min="8" max="8" width="13.28125" style="1" customWidth="1"/>
    <col min="9" max="9" width="14.00390625" style="1" bestFit="1" customWidth="1"/>
    <col min="10" max="10" width="9.8515625" style="1" customWidth="1"/>
    <col min="11" max="16384" width="9.140625" style="1" customWidth="1"/>
  </cols>
  <sheetData>
    <row r="1" spans="1:10" ht="15.75">
      <c r="A1" s="356" t="s">
        <v>421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7" ht="15.75" customHeight="1">
      <c r="A2" s="20"/>
      <c r="B2" s="20"/>
      <c r="C2" s="20"/>
      <c r="D2" s="20"/>
      <c r="E2" s="3"/>
      <c r="F2" s="3"/>
      <c r="G2" s="3"/>
    </row>
    <row r="3" spans="1:10" ht="15.75" customHeight="1">
      <c r="A3" s="357" t="s">
        <v>0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.75" customHeight="1">
      <c r="A4" s="357" t="s">
        <v>431</v>
      </c>
      <c r="B4" s="357"/>
      <c r="C4" s="357"/>
      <c r="D4" s="357"/>
      <c r="E4" s="357"/>
      <c r="F4" s="357"/>
      <c r="G4" s="357"/>
      <c r="H4" s="357"/>
      <c r="I4" s="357"/>
      <c r="J4" s="357"/>
    </row>
    <row r="5" spans="1:10" ht="15.75" customHeight="1">
      <c r="A5" s="357" t="s">
        <v>114</v>
      </c>
      <c r="B5" s="357"/>
      <c r="C5" s="357"/>
      <c r="D5" s="357"/>
      <c r="E5" s="357"/>
      <c r="F5" s="357"/>
      <c r="G5" s="357"/>
      <c r="H5" s="357"/>
      <c r="I5" s="357"/>
      <c r="J5" s="357"/>
    </row>
    <row r="6" spans="1:8" ht="15.75" customHeight="1" thickBot="1">
      <c r="A6" s="20"/>
      <c r="B6" s="20"/>
      <c r="C6" s="20"/>
      <c r="D6" s="20"/>
      <c r="E6" s="21"/>
      <c r="F6" s="21"/>
      <c r="G6" s="21"/>
      <c r="H6" s="46" t="s">
        <v>281</v>
      </c>
    </row>
    <row r="7" spans="1:10" ht="15.75" customHeight="1">
      <c r="A7" s="407" t="s">
        <v>115</v>
      </c>
      <c r="B7" s="408"/>
      <c r="C7" s="408"/>
      <c r="D7" s="408"/>
      <c r="E7" s="408"/>
      <c r="F7" s="408"/>
      <c r="G7" s="405" t="s">
        <v>2</v>
      </c>
      <c r="H7" s="405" t="s">
        <v>392</v>
      </c>
      <c r="I7" s="400" t="s">
        <v>523</v>
      </c>
      <c r="J7" s="402" t="s">
        <v>428</v>
      </c>
    </row>
    <row r="8" spans="1:10" ht="15.75" customHeight="1">
      <c r="A8" s="409"/>
      <c r="B8" s="410"/>
      <c r="C8" s="410"/>
      <c r="D8" s="410"/>
      <c r="E8" s="410"/>
      <c r="F8" s="410"/>
      <c r="G8" s="406"/>
      <c r="H8" s="406"/>
      <c r="I8" s="401"/>
      <c r="J8" s="403"/>
    </row>
    <row r="9" spans="1:10" ht="15.75" customHeight="1">
      <c r="A9" s="409"/>
      <c r="B9" s="410"/>
      <c r="C9" s="410"/>
      <c r="D9" s="410"/>
      <c r="E9" s="410"/>
      <c r="F9" s="410"/>
      <c r="G9" s="406"/>
      <c r="H9" s="406"/>
      <c r="I9" s="401"/>
      <c r="J9" s="404"/>
    </row>
    <row r="10" spans="1:10" ht="15.75" customHeight="1">
      <c r="A10" s="229" t="s">
        <v>4</v>
      </c>
      <c r="B10" s="30"/>
      <c r="C10" s="30" t="s">
        <v>5</v>
      </c>
      <c r="D10" s="30"/>
      <c r="E10" s="30"/>
      <c r="F10" s="22"/>
      <c r="G10" s="23">
        <f>G11+G23</f>
        <v>99108746</v>
      </c>
      <c r="H10" s="23">
        <f>H11+H23</f>
        <v>123770106</v>
      </c>
      <c r="I10" s="23">
        <f>I11+I23</f>
        <v>123201054</v>
      </c>
      <c r="J10" s="216">
        <f>I10/H10</f>
        <v>0.995402346993223</v>
      </c>
    </row>
    <row r="11" spans="1:10" ht="15.75" customHeight="1">
      <c r="A11" s="155"/>
      <c r="B11" s="24" t="s">
        <v>84</v>
      </c>
      <c r="C11" s="24"/>
      <c r="D11" s="366" t="s">
        <v>85</v>
      </c>
      <c r="E11" s="368"/>
      <c r="F11" s="25"/>
      <c r="G11" s="32">
        <f>SUM(G12:G21)</f>
        <v>86751622</v>
      </c>
      <c r="H11" s="32">
        <f>SUM(H12:H22)</f>
        <v>103665082</v>
      </c>
      <c r="I11" s="32">
        <f>SUM(I12:I22)</f>
        <v>103665082</v>
      </c>
      <c r="J11" s="235">
        <f>I11/H11</f>
        <v>1</v>
      </c>
    </row>
    <row r="12" spans="1:10" ht="15.75" customHeight="1">
      <c r="A12" s="154"/>
      <c r="B12" s="24"/>
      <c r="C12" s="25" t="s">
        <v>86</v>
      </c>
      <c r="D12" s="369" t="s">
        <v>87</v>
      </c>
      <c r="E12" s="370"/>
      <c r="F12" s="25"/>
      <c r="G12" s="29">
        <f>F13+F14+F15+F16+F17</f>
        <v>33279625</v>
      </c>
      <c r="H12" s="29">
        <v>33405745</v>
      </c>
      <c r="I12" s="29">
        <v>33405745</v>
      </c>
      <c r="J12" s="236">
        <f>I12/H12</f>
        <v>1</v>
      </c>
    </row>
    <row r="13" spans="1:10" ht="15.75" customHeight="1">
      <c r="A13" s="154"/>
      <c r="B13" s="24"/>
      <c r="C13" s="25"/>
      <c r="D13" s="25"/>
      <c r="E13" s="25" t="s">
        <v>116</v>
      </c>
      <c r="F13" s="25">
        <v>5964840</v>
      </c>
      <c r="G13" s="29"/>
      <c r="H13" s="29"/>
      <c r="I13" s="29"/>
      <c r="J13" s="236"/>
    </row>
    <row r="14" spans="1:10" ht="15.75" customHeight="1">
      <c r="A14" s="154"/>
      <c r="B14" s="24"/>
      <c r="C14" s="25"/>
      <c r="D14" s="25"/>
      <c r="E14" s="25" t="s">
        <v>117</v>
      </c>
      <c r="F14" s="25">
        <v>14720000</v>
      </c>
      <c r="G14" s="29"/>
      <c r="H14" s="29"/>
      <c r="I14" s="29"/>
      <c r="J14" s="236"/>
    </row>
    <row r="15" spans="1:10" ht="15.75" customHeight="1">
      <c r="A15" s="154"/>
      <c r="B15" s="24"/>
      <c r="C15" s="25"/>
      <c r="D15" s="25"/>
      <c r="E15" s="25" t="s">
        <v>118</v>
      </c>
      <c r="F15" s="25">
        <v>812130</v>
      </c>
      <c r="G15" s="29"/>
      <c r="H15" s="29"/>
      <c r="I15" s="29"/>
      <c r="J15" s="236"/>
    </row>
    <row r="16" spans="1:10" ht="15.75" customHeight="1">
      <c r="A16" s="154"/>
      <c r="B16" s="24"/>
      <c r="C16" s="25"/>
      <c r="D16" s="25"/>
      <c r="E16" s="25" t="s">
        <v>119</v>
      </c>
      <c r="F16" s="25">
        <v>3578655</v>
      </c>
      <c r="G16" s="29"/>
      <c r="H16" s="29"/>
      <c r="I16" s="29"/>
      <c r="J16" s="236"/>
    </row>
    <row r="17" spans="1:10" ht="15.75" customHeight="1">
      <c r="A17" s="154"/>
      <c r="B17" s="24"/>
      <c r="C17" s="25"/>
      <c r="D17" s="25"/>
      <c r="E17" s="25" t="s">
        <v>362</v>
      </c>
      <c r="F17" s="25">
        <v>8204000</v>
      </c>
      <c r="G17" s="29"/>
      <c r="H17" s="29"/>
      <c r="I17" s="29"/>
      <c r="J17" s="236"/>
    </row>
    <row r="18" spans="1:10" ht="30.75" customHeight="1">
      <c r="A18" s="155"/>
      <c r="B18" s="25"/>
      <c r="C18" s="25" t="s">
        <v>88</v>
      </c>
      <c r="D18" s="412" t="s">
        <v>120</v>
      </c>
      <c r="E18" s="413"/>
      <c r="F18" s="25"/>
      <c r="G18" s="29">
        <f>'2. Bevétel funkció'!F55</f>
        <v>23442820</v>
      </c>
      <c r="H18" s="29">
        <f>'2. Bevétel funkció'!G55</f>
        <v>23628050</v>
      </c>
      <c r="I18" s="29">
        <f>'2. Bevétel funkció'!H55</f>
        <v>23628050</v>
      </c>
      <c r="J18" s="236">
        <f aca="true" t="shared" si="0" ref="J18:J28">I18/H18</f>
        <v>1</v>
      </c>
    </row>
    <row r="19" spans="1:10" ht="31.5" customHeight="1">
      <c r="A19" s="155"/>
      <c r="B19" s="25"/>
      <c r="C19" s="25" t="s">
        <v>352</v>
      </c>
      <c r="D19" s="412" t="s">
        <v>121</v>
      </c>
      <c r="E19" s="413"/>
      <c r="F19" s="25"/>
      <c r="G19" s="29">
        <f>'2. Bevétel funkció'!F56</f>
        <v>5628000</v>
      </c>
      <c r="H19" s="29">
        <f>'2. Bevétel funkció'!G56</f>
        <v>5628000</v>
      </c>
      <c r="I19" s="29">
        <f>'2. Bevétel funkció'!H56</f>
        <v>5628000</v>
      </c>
      <c r="J19" s="236">
        <f t="shared" si="0"/>
        <v>1</v>
      </c>
    </row>
    <row r="20" spans="1:10" ht="15.75" customHeight="1">
      <c r="A20" s="155"/>
      <c r="B20" s="25"/>
      <c r="C20" s="25" t="s">
        <v>351</v>
      </c>
      <c r="D20" s="369" t="s">
        <v>350</v>
      </c>
      <c r="E20" s="370"/>
      <c r="F20" s="25"/>
      <c r="G20" s="29">
        <f>'2. Bevétel funkció'!F57</f>
        <v>21823217</v>
      </c>
      <c r="H20" s="29">
        <f>'2. Bevétel funkció'!G57</f>
        <v>23625391</v>
      </c>
      <c r="I20" s="29">
        <f>'2. Bevétel funkció'!H57</f>
        <v>23625391</v>
      </c>
      <c r="J20" s="236">
        <f t="shared" si="0"/>
        <v>1</v>
      </c>
    </row>
    <row r="21" spans="1:10" ht="15.75" customHeight="1">
      <c r="A21" s="155"/>
      <c r="B21" s="25"/>
      <c r="C21" s="25" t="s">
        <v>90</v>
      </c>
      <c r="D21" s="369" t="s">
        <v>91</v>
      </c>
      <c r="E21" s="370"/>
      <c r="F21" s="25"/>
      <c r="G21" s="29">
        <f>'2. Bevétel funkció'!F58</f>
        <v>2577960</v>
      </c>
      <c r="H21" s="29">
        <f>'2. Bevétel funkció'!G58</f>
        <v>2917728</v>
      </c>
      <c r="I21" s="29">
        <f>'2. Bevétel funkció'!H58</f>
        <v>2917728</v>
      </c>
      <c r="J21" s="236">
        <f t="shared" si="0"/>
        <v>1</v>
      </c>
    </row>
    <row r="22" spans="1:10" ht="15.75" customHeight="1">
      <c r="A22" s="155"/>
      <c r="B22" s="25"/>
      <c r="C22" s="25" t="s">
        <v>390</v>
      </c>
      <c r="D22" s="369" t="s">
        <v>393</v>
      </c>
      <c r="E22" s="370"/>
      <c r="F22" s="25"/>
      <c r="G22" s="29"/>
      <c r="H22" s="29">
        <f>'2. Bevétel funkció'!G59</f>
        <v>14460168</v>
      </c>
      <c r="I22" s="29">
        <f>'2. Bevétel funkció'!H59</f>
        <v>14460168</v>
      </c>
      <c r="J22" s="236">
        <f t="shared" si="0"/>
        <v>1</v>
      </c>
    </row>
    <row r="23" spans="1:10" ht="15.75" customHeight="1">
      <c r="A23" s="155"/>
      <c r="B23" s="24" t="s">
        <v>46</v>
      </c>
      <c r="C23" s="24"/>
      <c r="D23" s="366" t="s">
        <v>97</v>
      </c>
      <c r="E23" s="368"/>
      <c r="F23" s="25"/>
      <c r="G23" s="32">
        <f>SUM(G24:G26)</f>
        <v>12357124</v>
      </c>
      <c r="H23" s="32">
        <f>SUM(H24:H28)</f>
        <v>20105024</v>
      </c>
      <c r="I23" s="32">
        <f>SUM(I24:I28)</f>
        <v>19535972</v>
      </c>
      <c r="J23" s="235">
        <f t="shared" si="0"/>
        <v>0.9716960298082709</v>
      </c>
    </row>
    <row r="24" spans="1:10" ht="15.75" customHeight="1">
      <c r="A24" s="155"/>
      <c r="B24" s="25"/>
      <c r="C24" s="25"/>
      <c r="D24" s="369" t="s">
        <v>122</v>
      </c>
      <c r="E24" s="370"/>
      <c r="F24" s="25"/>
      <c r="G24" s="29">
        <f>'2. Bevétel funkció'!F71</f>
        <v>2825339</v>
      </c>
      <c r="H24" s="29">
        <f>'2. Bevétel funkció'!G71</f>
        <v>2825339</v>
      </c>
      <c r="I24" s="29">
        <f>'2. Bevétel funkció'!H71</f>
        <v>2265987</v>
      </c>
      <c r="J24" s="236">
        <f t="shared" si="0"/>
        <v>0.8020230492694859</v>
      </c>
    </row>
    <row r="25" spans="1:10" ht="15.75" customHeight="1">
      <c r="A25" s="155"/>
      <c r="B25" s="25"/>
      <c r="C25" s="25"/>
      <c r="D25" s="369" t="s">
        <v>323</v>
      </c>
      <c r="E25" s="370"/>
      <c r="F25" s="25"/>
      <c r="G25" s="29">
        <f>'2. Bevétel funkció'!F72</f>
        <v>7035600</v>
      </c>
      <c r="H25" s="29">
        <f>'2. Bevétel funkció'!G72</f>
        <v>7035600</v>
      </c>
      <c r="I25" s="29">
        <f>'2. Bevétel funkció'!H72</f>
        <v>7025900</v>
      </c>
      <c r="J25" s="236">
        <f t="shared" si="0"/>
        <v>0.9986212974017852</v>
      </c>
    </row>
    <row r="26" spans="1:10" ht="15.75" customHeight="1">
      <c r="A26" s="155"/>
      <c r="B26" s="25"/>
      <c r="C26" s="25"/>
      <c r="D26" s="369" t="s">
        <v>397</v>
      </c>
      <c r="E26" s="370"/>
      <c r="F26" s="25"/>
      <c r="G26" s="29">
        <f>'2. Bevétel funkció'!F82</f>
        <v>2496185</v>
      </c>
      <c r="H26" s="29">
        <f>'2. Bevétel funkció'!G82</f>
        <v>2496185</v>
      </c>
      <c r="I26" s="29">
        <f>'2. Bevétel funkció'!H82</f>
        <v>2496185</v>
      </c>
      <c r="J26" s="236">
        <f t="shared" si="0"/>
        <v>1</v>
      </c>
    </row>
    <row r="27" spans="1:10" ht="15.75" customHeight="1">
      <c r="A27" s="155"/>
      <c r="B27" s="25"/>
      <c r="C27" s="25"/>
      <c r="D27" s="369" t="s">
        <v>398</v>
      </c>
      <c r="E27" s="370"/>
      <c r="F27" s="25"/>
      <c r="G27" s="29"/>
      <c r="H27" s="29">
        <f>'2. Bevétel funkció'!G60</f>
        <v>1747900</v>
      </c>
      <c r="I27" s="29">
        <f>'2. Bevétel funkció'!H60</f>
        <v>1747900</v>
      </c>
      <c r="J27" s="236">
        <f t="shared" si="0"/>
        <v>1</v>
      </c>
    </row>
    <row r="28" spans="1:10" ht="15.75" customHeight="1">
      <c r="A28" s="155"/>
      <c r="B28" s="25"/>
      <c r="C28" s="25"/>
      <c r="D28" s="369" t="s">
        <v>413</v>
      </c>
      <c r="E28" s="370"/>
      <c r="F28" s="25"/>
      <c r="G28" s="29"/>
      <c r="H28" s="29">
        <f>'2. Bevétel funkció'!G122</f>
        <v>6000000</v>
      </c>
      <c r="I28" s="29">
        <f>'2. Bevétel funkció'!H122</f>
        <v>6000000</v>
      </c>
      <c r="J28" s="236">
        <f t="shared" si="0"/>
        <v>1</v>
      </c>
    </row>
    <row r="29" spans="1:10" ht="15.75" customHeight="1">
      <c r="A29" s="155"/>
      <c r="B29" s="25"/>
      <c r="C29" s="25"/>
      <c r="D29" s="25"/>
      <c r="E29" s="25"/>
      <c r="F29" s="25"/>
      <c r="G29" s="29"/>
      <c r="H29" s="29"/>
      <c r="I29" s="29"/>
      <c r="J29" s="237"/>
    </row>
    <row r="30" spans="1:10" ht="15.75" customHeight="1">
      <c r="A30" s="229" t="s">
        <v>13</v>
      </c>
      <c r="B30" s="30"/>
      <c r="C30" s="411" t="s">
        <v>14</v>
      </c>
      <c r="D30" s="372"/>
      <c r="E30" s="373"/>
      <c r="F30" s="30"/>
      <c r="G30" s="31">
        <f>G31</f>
        <v>13000000</v>
      </c>
      <c r="H30" s="31">
        <f>H31</f>
        <v>25446463</v>
      </c>
      <c r="I30" s="31">
        <f>I31</f>
        <v>25353881</v>
      </c>
      <c r="J30" s="216">
        <f>I30/H30</f>
        <v>0.9963616947471245</v>
      </c>
    </row>
    <row r="31" spans="1:10" ht="15.75" customHeight="1">
      <c r="A31" s="155"/>
      <c r="B31" s="24" t="s">
        <v>92</v>
      </c>
      <c r="C31" s="24"/>
      <c r="D31" s="366" t="s">
        <v>123</v>
      </c>
      <c r="E31" s="368"/>
      <c r="F31" s="25"/>
      <c r="G31" s="33">
        <f>'2. Bevétel funkció'!F130</f>
        <v>13000000</v>
      </c>
      <c r="H31" s="33">
        <f>'2. Bevétel funkció'!G130</f>
        <v>25446463</v>
      </c>
      <c r="I31" s="33">
        <f>'2. Bevétel funkció'!H130</f>
        <v>25353881</v>
      </c>
      <c r="J31" s="236">
        <f>I31/H31</f>
        <v>0.9963616947471245</v>
      </c>
    </row>
    <row r="32" spans="1:10" ht="15.75" customHeight="1">
      <c r="A32" s="155"/>
      <c r="B32" s="25"/>
      <c r="C32" s="25"/>
      <c r="D32" s="25"/>
      <c r="E32" s="25"/>
      <c r="F32" s="25"/>
      <c r="G32" s="33"/>
      <c r="H32" s="33"/>
      <c r="I32" s="33"/>
      <c r="J32" s="238"/>
    </row>
    <row r="33" spans="1:10" ht="15.75" customHeight="1">
      <c r="A33" s="229" t="s">
        <v>6</v>
      </c>
      <c r="B33" s="30"/>
      <c r="C33" s="411" t="s">
        <v>7</v>
      </c>
      <c r="D33" s="372"/>
      <c r="E33" s="373"/>
      <c r="F33" s="30"/>
      <c r="G33" s="31">
        <f>G34+G37+G42</f>
        <v>121500000</v>
      </c>
      <c r="H33" s="31">
        <f>H34+H37+H42</f>
        <v>137814182</v>
      </c>
      <c r="I33" s="31">
        <f>I34+I37+I42</f>
        <v>138797062</v>
      </c>
      <c r="J33" s="216">
        <f>I33/H33</f>
        <v>1.0071319220252672</v>
      </c>
    </row>
    <row r="34" spans="1:10" ht="15.75" customHeight="1">
      <c r="A34" s="155"/>
      <c r="B34" s="24" t="s">
        <v>58</v>
      </c>
      <c r="C34" s="24"/>
      <c r="D34" s="366" t="s">
        <v>59</v>
      </c>
      <c r="E34" s="368"/>
      <c r="F34" s="25"/>
      <c r="G34" s="32">
        <f>SUM(G35:G36)</f>
        <v>62000000</v>
      </c>
      <c r="H34" s="32">
        <f>SUM(H35:H36)</f>
        <v>84000000</v>
      </c>
      <c r="I34" s="32">
        <f>SUM(I35:I36)</f>
        <v>85478447</v>
      </c>
      <c r="J34" s="235">
        <f aca="true" t="shared" si="1" ref="J34:J43">I34/H34</f>
        <v>1.0176005595238096</v>
      </c>
    </row>
    <row r="35" spans="1:10" ht="15.75" customHeight="1">
      <c r="A35" s="155"/>
      <c r="B35" s="25"/>
      <c r="C35" s="25" t="s">
        <v>60</v>
      </c>
      <c r="D35" s="25"/>
      <c r="E35" s="25" t="s">
        <v>61</v>
      </c>
      <c r="F35" s="25"/>
      <c r="G35" s="29">
        <f>'2. Bevétel funkció'!F25</f>
        <v>50000000</v>
      </c>
      <c r="H35" s="29">
        <f>'2. Bevétel funkció'!G25</f>
        <v>66000000</v>
      </c>
      <c r="I35" s="29">
        <f>'2. Bevétel funkció'!H25</f>
        <v>66927759</v>
      </c>
      <c r="J35" s="236">
        <f t="shared" si="1"/>
        <v>1.0140569545454545</v>
      </c>
    </row>
    <row r="36" spans="1:10" ht="15.75" customHeight="1">
      <c r="A36" s="154"/>
      <c r="B36" s="24"/>
      <c r="C36" s="25" t="s">
        <v>62</v>
      </c>
      <c r="D36" s="24"/>
      <c r="E36" s="25" t="s">
        <v>63</v>
      </c>
      <c r="F36" s="25"/>
      <c r="G36" s="29">
        <f>'2. Bevétel funkció'!F26</f>
        <v>12000000</v>
      </c>
      <c r="H36" s="29">
        <f>'2. Bevétel funkció'!G26</f>
        <v>18000000</v>
      </c>
      <c r="I36" s="29">
        <f>'2. Bevétel funkció'!H26</f>
        <v>18550688</v>
      </c>
      <c r="J36" s="236">
        <f t="shared" si="1"/>
        <v>1.0305937777777778</v>
      </c>
    </row>
    <row r="37" spans="1:10" ht="15.75" customHeight="1">
      <c r="A37" s="154"/>
      <c r="B37" s="24" t="s">
        <v>64</v>
      </c>
      <c r="C37" s="24"/>
      <c r="D37" s="366" t="s">
        <v>65</v>
      </c>
      <c r="E37" s="368"/>
      <c r="F37" s="25"/>
      <c r="G37" s="32">
        <f>G38+G40</f>
        <v>46000000</v>
      </c>
      <c r="H37" s="32">
        <f>H38+H40</f>
        <v>42314182</v>
      </c>
      <c r="I37" s="32">
        <f>I38+I40</f>
        <v>43036682</v>
      </c>
      <c r="J37" s="235">
        <f t="shared" si="1"/>
        <v>1.0170746535995898</v>
      </c>
    </row>
    <row r="38" spans="1:10" ht="15.75" customHeight="1">
      <c r="A38" s="154"/>
      <c r="B38" s="25"/>
      <c r="C38" s="25" t="s">
        <v>66</v>
      </c>
      <c r="D38" s="369" t="s">
        <v>67</v>
      </c>
      <c r="E38" s="370"/>
      <c r="F38" s="25"/>
      <c r="G38" s="29">
        <f>G39</f>
        <v>26000000</v>
      </c>
      <c r="H38" s="29">
        <f>H39</f>
        <v>20314182</v>
      </c>
      <c r="I38" s="29">
        <f>I39</f>
        <v>20343245</v>
      </c>
      <c r="J38" s="236">
        <f t="shared" si="1"/>
        <v>1.0014306753774285</v>
      </c>
    </row>
    <row r="39" spans="1:10" ht="15.75" customHeight="1">
      <c r="A39" s="154"/>
      <c r="B39" s="25"/>
      <c r="C39" s="25"/>
      <c r="D39" s="25"/>
      <c r="E39" s="25" t="s">
        <v>68</v>
      </c>
      <c r="F39" s="25"/>
      <c r="G39" s="29">
        <f>'2. Bevétel funkció'!F29</f>
        <v>26000000</v>
      </c>
      <c r="H39" s="29">
        <f>'2. Bevétel funkció'!G29</f>
        <v>20314182</v>
      </c>
      <c r="I39" s="29">
        <f>'2. Bevétel funkció'!H29</f>
        <v>20343245</v>
      </c>
      <c r="J39" s="236">
        <f t="shared" si="1"/>
        <v>1.0014306753774285</v>
      </c>
    </row>
    <row r="40" spans="1:10" ht="15.75" customHeight="1">
      <c r="A40" s="154"/>
      <c r="B40" s="25"/>
      <c r="C40" s="25" t="s">
        <v>69</v>
      </c>
      <c r="D40" s="369" t="s">
        <v>70</v>
      </c>
      <c r="E40" s="370"/>
      <c r="F40" s="25"/>
      <c r="G40" s="29">
        <f>SUM(G41:G41)</f>
        <v>20000000</v>
      </c>
      <c r="H40" s="29">
        <f>SUM(H41:H41)</f>
        <v>22000000</v>
      </c>
      <c r="I40" s="29">
        <f>SUM(I41:I41)</f>
        <v>22693437</v>
      </c>
      <c r="J40" s="236">
        <f t="shared" si="1"/>
        <v>1.0315198636363636</v>
      </c>
    </row>
    <row r="41" spans="1:10" ht="15.75" customHeight="1">
      <c r="A41" s="154"/>
      <c r="B41" s="25"/>
      <c r="C41" s="25"/>
      <c r="D41" s="25"/>
      <c r="E41" s="25" t="s">
        <v>71</v>
      </c>
      <c r="F41" s="25"/>
      <c r="G41" s="29">
        <f>'2. Bevétel funkció'!F31</f>
        <v>20000000</v>
      </c>
      <c r="H41" s="29">
        <f>'2. Bevétel funkció'!G31</f>
        <v>22000000</v>
      </c>
      <c r="I41" s="29">
        <f>'2. Bevétel funkció'!H31</f>
        <v>22693437</v>
      </c>
      <c r="J41" s="236">
        <f t="shared" si="1"/>
        <v>1.0315198636363636</v>
      </c>
    </row>
    <row r="42" spans="1:10" ht="15.75" customHeight="1">
      <c r="A42" s="155"/>
      <c r="B42" s="24" t="s">
        <v>72</v>
      </c>
      <c r="C42" s="25"/>
      <c r="D42" s="366" t="s">
        <v>73</v>
      </c>
      <c r="E42" s="368"/>
      <c r="F42" s="25"/>
      <c r="G42" s="32">
        <f>G43</f>
        <v>13500000</v>
      </c>
      <c r="H42" s="32">
        <f>H43</f>
        <v>11500000</v>
      </c>
      <c r="I42" s="32">
        <f>I43</f>
        <v>10281933</v>
      </c>
      <c r="J42" s="235">
        <f t="shared" si="1"/>
        <v>0.8940811304347827</v>
      </c>
    </row>
    <row r="43" spans="1:10" ht="15.75" customHeight="1">
      <c r="A43" s="155"/>
      <c r="B43" s="25"/>
      <c r="C43" s="25" t="s">
        <v>124</v>
      </c>
      <c r="D43" s="25"/>
      <c r="E43" s="25" t="s">
        <v>75</v>
      </c>
      <c r="F43" s="25"/>
      <c r="G43" s="29">
        <v>13500000</v>
      </c>
      <c r="H43" s="29">
        <f>'2. Bevétel funkció'!G12+'2. Bevétel funkció'!G33</f>
        <v>11500000</v>
      </c>
      <c r="I43" s="29">
        <f>'2. Bevétel funkció'!H12+'2. Bevétel funkció'!H33</f>
        <v>10281933</v>
      </c>
      <c r="J43" s="236">
        <f t="shared" si="1"/>
        <v>0.8940811304347827</v>
      </c>
    </row>
    <row r="44" spans="1:10" ht="15.75" customHeight="1">
      <c r="A44" s="155"/>
      <c r="B44" s="25"/>
      <c r="C44" s="25"/>
      <c r="D44" s="25"/>
      <c r="E44" s="25"/>
      <c r="F44" s="25"/>
      <c r="G44" s="29"/>
      <c r="H44" s="29"/>
      <c r="I44" s="29"/>
      <c r="J44" s="237"/>
    </row>
    <row r="45" spans="1:10" ht="15.75" customHeight="1">
      <c r="A45" s="155"/>
      <c r="B45" s="25"/>
      <c r="C45" s="25"/>
      <c r="D45" s="25"/>
      <c r="E45" s="25"/>
      <c r="F45" s="25"/>
      <c r="G45" s="29"/>
      <c r="H45" s="29"/>
      <c r="I45" s="29"/>
      <c r="J45" s="237"/>
    </row>
    <row r="46" spans="1:10" ht="15.75" customHeight="1">
      <c r="A46" s="229" t="s">
        <v>8</v>
      </c>
      <c r="B46" s="30"/>
      <c r="C46" s="411" t="s">
        <v>9</v>
      </c>
      <c r="D46" s="372"/>
      <c r="E46" s="373"/>
      <c r="F46" s="22"/>
      <c r="G46" s="23">
        <f>G47+G48+G57+G58+G60+G59+G61</f>
        <v>196931095</v>
      </c>
      <c r="H46" s="23">
        <f>H47+H48+H57+H58+H60+H59+H61+H62</f>
        <v>189243299</v>
      </c>
      <c r="I46" s="234">
        <f>I47+I48+I57+I58+I60+I59+I61+I62</f>
        <v>189486595</v>
      </c>
      <c r="J46" s="239">
        <f>I46/H46</f>
        <v>1.00128562544241</v>
      </c>
    </row>
    <row r="47" spans="1:10" s="142" customFormat="1" ht="15.75" customHeight="1">
      <c r="A47" s="240"/>
      <c r="B47" s="139"/>
      <c r="C47" s="25" t="s">
        <v>105</v>
      </c>
      <c r="D47" s="369" t="s">
        <v>126</v>
      </c>
      <c r="E47" s="370"/>
      <c r="F47" s="140"/>
      <c r="G47" s="141">
        <f>'2. Bevétel funkció'!F91</f>
        <v>300000</v>
      </c>
      <c r="H47" s="141">
        <f>'2. Bevétel funkció'!G91</f>
        <v>389986</v>
      </c>
      <c r="I47" s="141">
        <f>'2. Bevétel funkció'!H91</f>
        <v>389986</v>
      </c>
      <c r="J47" s="235">
        <f aca="true" t="shared" si="2" ref="J47:J62">I47/H47</f>
        <v>1</v>
      </c>
    </row>
    <row r="48" spans="1:10" s="142" customFormat="1" ht="15.75" customHeight="1">
      <c r="A48" s="240"/>
      <c r="B48" s="139"/>
      <c r="C48" s="25" t="s">
        <v>47</v>
      </c>
      <c r="D48" s="369" t="s">
        <v>77</v>
      </c>
      <c r="E48" s="370"/>
      <c r="F48" s="140"/>
      <c r="G48" s="141">
        <f>SUM(G49:G55)</f>
        <v>104050000</v>
      </c>
      <c r="H48" s="141">
        <f>SUM(H49:H56)</f>
        <v>109340667</v>
      </c>
      <c r="I48" s="141">
        <f>SUM(I49:I56)</f>
        <v>109564926</v>
      </c>
      <c r="J48" s="235">
        <f t="shared" si="2"/>
        <v>1.002051011816125</v>
      </c>
    </row>
    <row r="49" spans="1:10" s="142" customFormat="1" ht="15.75" customHeight="1">
      <c r="A49" s="240"/>
      <c r="B49" s="139"/>
      <c r="C49" s="139"/>
      <c r="D49" s="414" t="s">
        <v>303</v>
      </c>
      <c r="E49" s="415"/>
      <c r="F49" s="140"/>
      <c r="G49" s="143">
        <f>'2. Bevétel funkció'!F37</f>
        <v>50000</v>
      </c>
      <c r="H49" s="143">
        <f>'2. Bevétel funkció'!G37</f>
        <v>157000</v>
      </c>
      <c r="I49" s="143">
        <f>'2. Bevétel funkció'!H37</f>
        <v>157000</v>
      </c>
      <c r="J49" s="236">
        <f t="shared" si="2"/>
        <v>1</v>
      </c>
    </row>
    <row r="50" spans="1:10" s="142" customFormat="1" ht="15.75" customHeight="1">
      <c r="A50" s="240"/>
      <c r="B50" s="139"/>
      <c r="C50" s="139"/>
      <c r="D50" s="414" t="s">
        <v>304</v>
      </c>
      <c r="E50" s="415"/>
      <c r="F50" s="140"/>
      <c r="G50" s="143">
        <f>'2. Bevétel funkció'!F14</f>
        <v>200000</v>
      </c>
      <c r="H50" s="143">
        <f>'2. Bevétel funkció'!G14</f>
        <v>200000</v>
      </c>
      <c r="I50" s="143">
        <f>'2. Bevétel funkció'!H14</f>
        <v>95000</v>
      </c>
      <c r="J50" s="236">
        <f t="shared" si="2"/>
        <v>0.475</v>
      </c>
    </row>
    <row r="51" spans="1:10" s="142" customFormat="1" ht="15.75" customHeight="1">
      <c r="A51" s="240"/>
      <c r="B51" s="139"/>
      <c r="C51" s="139"/>
      <c r="D51" s="414" t="s">
        <v>79</v>
      </c>
      <c r="E51" s="415"/>
      <c r="F51" s="140"/>
      <c r="G51" s="143">
        <f>'2. Bevétel funkció'!F45</f>
        <v>73000000</v>
      </c>
      <c r="H51" s="143">
        <f>'2. Bevétel funkció'!G45</f>
        <v>74400597</v>
      </c>
      <c r="I51" s="143">
        <f>'2. Bevétel funkció'!H45</f>
        <v>74400597</v>
      </c>
      <c r="J51" s="236">
        <f t="shared" si="2"/>
        <v>1</v>
      </c>
    </row>
    <row r="52" spans="1:10" s="142" customFormat="1" ht="15.75" customHeight="1">
      <c r="A52" s="240"/>
      <c r="B52" s="139"/>
      <c r="C52" s="139"/>
      <c r="D52" s="414" t="s">
        <v>307</v>
      </c>
      <c r="E52" s="415"/>
      <c r="F52" s="140"/>
      <c r="G52" s="143">
        <f>'2. Bevétel funkció'!F86</f>
        <v>400000</v>
      </c>
      <c r="H52" s="143">
        <f>'2. Bevétel funkció'!G86</f>
        <v>653937</v>
      </c>
      <c r="I52" s="143">
        <f>'2. Bevétel funkció'!H86</f>
        <v>653937</v>
      </c>
      <c r="J52" s="236">
        <f t="shared" si="2"/>
        <v>1</v>
      </c>
    </row>
    <row r="53" spans="1:10" s="142" customFormat="1" ht="15.75" customHeight="1">
      <c r="A53" s="240"/>
      <c r="B53" s="139"/>
      <c r="C53" s="139"/>
      <c r="D53" s="414" t="s">
        <v>80</v>
      </c>
      <c r="E53" s="415"/>
      <c r="F53" s="140"/>
      <c r="G53" s="143">
        <f>'2. Bevétel funkció'!F46</f>
        <v>300000</v>
      </c>
      <c r="H53" s="143">
        <f>'2. Bevétel funkció'!G46</f>
        <v>300000</v>
      </c>
      <c r="I53" s="143">
        <f>'2. Bevétel funkció'!H46</f>
        <v>300000</v>
      </c>
      <c r="J53" s="236">
        <f t="shared" si="2"/>
        <v>1</v>
      </c>
    </row>
    <row r="54" spans="1:10" s="142" customFormat="1" ht="15.75" customHeight="1">
      <c r="A54" s="240"/>
      <c r="B54" s="139"/>
      <c r="C54" s="139"/>
      <c r="D54" s="414" t="s">
        <v>305</v>
      </c>
      <c r="E54" s="415"/>
      <c r="F54" s="140"/>
      <c r="G54" s="143">
        <f>'2. Bevétel funkció'!F111</f>
        <v>30000000</v>
      </c>
      <c r="H54" s="143">
        <f>'2. Bevétel funkció'!G111</f>
        <v>33500000</v>
      </c>
      <c r="I54" s="143">
        <f>'2. Bevétel funkció'!H111</f>
        <v>33857157</v>
      </c>
      <c r="J54" s="236">
        <f t="shared" si="2"/>
        <v>1.0106614029850747</v>
      </c>
    </row>
    <row r="55" spans="1:10" s="142" customFormat="1" ht="15.75" customHeight="1">
      <c r="A55" s="240"/>
      <c r="B55" s="139"/>
      <c r="C55" s="139"/>
      <c r="D55" s="414" t="s">
        <v>306</v>
      </c>
      <c r="E55" s="415"/>
      <c r="F55" s="140"/>
      <c r="G55" s="143">
        <f>'2. Bevétel funkció'!F117</f>
        <v>100000</v>
      </c>
      <c r="H55" s="143">
        <f>'2. Bevétel funkció'!G117</f>
        <v>100000</v>
      </c>
      <c r="I55" s="143">
        <f>'2. Bevétel funkció'!H117</f>
        <v>72102</v>
      </c>
      <c r="J55" s="236">
        <f t="shared" si="2"/>
        <v>0.72102</v>
      </c>
    </row>
    <row r="56" spans="1:10" s="142" customFormat="1" ht="15.75" customHeight="1">
      <c r="A56" s="240"/>
      <c r="B56" s="139"/>
      <c r="C56" s="139"/>
      <c r="D56" s="414" t="s">
        <v>414</v>
      </c>
      <c r="E56" s="415"/>
      <c r="F56" s="140"/>
      <c r="G56" s="143"/>
      <c r="H56" s="143">
        <f>'2. Bevétel funkció'!G124</f>
        <v>29133</v>
      </c>
      <c r="I56" s="143">
        <f>'2. Bevétel funkció'!H124</f>
        <v>29133</v>
      </c>
      <c r="J56" s="236">
        <f t="shared" si="2"/>
        <v>1</v>
      </c>
    </row>
    <row r="57" spans="1:10" s="142" customFormat="1" ht="15.75" customHeight="1">
      <c r="A57" s="240"/>
      <c r="B57" s="139"/>
      <c r="C57" s="25" t="s">
        <v>81</v>
      </c>
      <c r="D57" s="369" t="s">
        <v>125</v>
      </c>
      <c r="E57" s="370"/>
      <c r="F57" s="140"/>
      <c r="G57" s="143">
        <f>'2. Bevétel funkció'!F47</f>
        <v>1200000</v>
      </c>
      <c r="H57" s="143">
        <f>'2. Bevétel funkció'!G47</f>
        <v>2286255</v>
      </c>
      <c r="I57" s="143">
        <f>'2. Bevétel funkció'!H47</f>
        <v>2286255</v>
      </c>
      <c r="J57" s="236">
        <f t="shared" si="2"/>
        <v>1</v>
      </c>
    </row>
    <row r="58" spans="1:10" s="142" customFormat="1" ht="15.75" customHeight="1">
      <c r="A58" s="240"/>
      <c r="B58" s="139"/>
      <c r="C58" s="25" t="s">
        <v>49</v>
      </c>
      <c r="D58" s="369" t="s">
        <v>50</v>
      </c>
      <c r="E58" s="370"/>
      <c r="F58" s="140"/>
      <c r="G58" s="143">
        <f>'2. Bevétel funkció'!F38+'2. Bevétel funkció'!F48+'2. Bevétel funkció'!F87+'2. Bevétel funkció'!F92+'2. Bevétel funkció'!F112+'2. Bevétel funkció'!F118</f>
        <v>27829500</v>
      </c>
      <c r="H58" s="143">
        <f>'2. Bevétel funkció'!G38+'2. Bevétel funkció'!G48+'2. Bevétel funkció'!G87+'2. Bevétel funkció'!G92+'2. Bevétel funkció'!G112+'2. Bevétel funkció'!G118+'2. Bevétel funkció'!G125</f>
        <v>30031191</v>
      </c>
      <c r="I58" s="143">
        <f>'2. Bevétel funkció'!H38+'2. Bevétel funkció'!H48+'2. Bevétel funkció'!H87+'2. Bevétel funkció'!H92+'2. Bevétel funkció'!H112+'2. Bevétel funkció'!H118+'2. Bevétel funkció'!H125</f>
        <v>30101471</v>
      </c>
      <c r="J58" s="236">
        <f t="shared" si="2"/>
        <v>1.0023402335258698</v>
      </c>
    </row>
    <row r="59" spans="1:10" s="142" customFormat="1" ht="15.75" customHeight="1">
      <c r="A59" s="240"/>
      <c r="B59" s="139"/>
      <c r="C59" s="25" t="s">
        <v>336</v>
      </c>
      <c r="D59" s="369" t="s">
        <v>339</v>
      </c>
      <c r="E59" s="370"/>
      <c r="F59" s="140"/>
      <c r="G59" s="143">
        <f>'2. Bevétel funkció'!F113+'2. Bevétel funkció'!F49</f>
        <v>62344357</v>
      </c>
      <c r="H59" s="143">
        <f>'2. Bevétel funkció'!G113+'2. Bevétel funkció'!G49</f>
        <v>45429365</v>
      </c>
      <c r="I59" s="143">
        <f>'2. Bevétel funkció'!H113+'2. Bevétel funkció'!H49</f>
        <v>45429000</v>
      </c>
      <c r="J59" s="236">
        <f t="shared" si="2"/>
        <v>0.9999919655491553</v>
      </c>
    </row>
    <row r="60" spans="1:10" ht="15.75" customHeight="1">
      <c r="A60" s="155"/>
      <c r="B60" s="25"/>
      <c r="C60" s="25" t="s">
        <v>51</v>
      </c>
      <c r="D60" s="369" t="s">
        <v>52</v>
      </c>
      <c r="E60" s="370"/>
      <c r="F60" s="28"/>
      <c r="G60" s="27">
        <f>'2. Bevétel funkció'!F15</f>
        <v>1000</v>
      </c>
      <c r="H60" s="27">
        <f>'2. Bevétel funkció'!G15</f>
        <v>1000</v>
      </c>
      <c r="I60" s="27">
        <f>'2. Bevétel funkció'!H15</f>
        <v>121</v>
      </c>
      <c r="J60" s="236">
        <f t="shared" si="2"/>
        <v>0.121</v>
      </c>
    </row>
    <row r="61" spans="1:10" ht="15.75" customHeight="1">
      <c r="A61" s="155"/>
      <c r="B61" s="25"/>
      <c r="C61" s="25" t="s">
        <v>354</v>
      </c>
      <c r="D61" s="369" t="s">
        <v>355</v>
      </c>
      <c r="E61" s="370"/>
      <c r="F61" s="28"/>
      <c r="G61" s="27">
        <f>'2. Bevétel funkció'!F103</f>
        <v>1206238</v>
      </c>
      <c r="H61" s="27">
        <f>'2. Bevétel funkció'!G103</f>
        <v>1206238</v>
      </c>
      <c r="I61" s="27">
        <f>'2. Bevétel funkció'!H103</f>
        <v>1156239</v>
      </c>
      <c r="J61" s="236">
        <f t="shared" si="2"/>
        <v>0.9585496394575531</v>
      </c>
    </row>
    <row r="62" spans="1:10" ht="15.75" customHeight="1">
      <c r="A62" s="155"/>
      <c r="B62" s="25"/>
      <c r="C62" s="25" t="s">
        <v>405</v>
      </c>
      <c r="D62" s="369" t="s">
        <v>406</v>
      </c>
      <c r="E62" s="370"/>
      <c r="F62" s="28"/>
      <c r="G62" s="27">
        <v>0</v>
      </c>
      <c r="H62" s="27">
        <f>'2. Bevétel funkció'!G16</f>
        <v>558597</v>
      </c>
      <c r="I62" s="27">
        <f>'2. Bevétel funkció'!H16</f>
        <v>558597</v>
      </c>
      <c r="J62" s="236">
        <f t="shared" si="2"/>
        <v>1</v>
      </c>
    </row>
    <row r="63" spans="1:10" ht="15.75" customHeight="1">
      <c r="A63" s="155"/>
      <c r="B63" s="25"/>
      <c r="C63" s="25"/>
      <c r="D63" s="25"/>
      <c r="E63" s="25"/>
      <c r="F63" s="25"/>
      <c r="G63" s="29"/>
      <c r="H63" s="29"/>
      <c r="I63" s="29"/>
      <c r="J63" s="237"/>
    </row>
    <row r="64" spans="1:10" ht="15.75" customHeight="1">
      <c r="A64" s="229" t="s">
        <v>15</v>
      </c>
      <c r="B64" s="30"/>
      <c r="C64" s="411" t="s">
        <v>16</v>
      </c>
      <c r="D64" s="372"/>
      <c r="E64" s="373"/>
      <c r="F64" s="41"/>
      <c r="G64" s="23">
        <f>SUM(G65:G65)</f>
        <v>600000</v>
      </c>
      <c r="H64" s="23">
        <f>SUM(H65:H65)</f>
        <v>600000</v>
      </c>
      <c r="I64" s="23">
        <f>SUM(I65:I65)</f>
        <v>587550</v>
      </c>
      <c r="J64" s="216">
        <f>I64/H64</f>
        <v>0.97925</v>
      </c>
    </row>
    <row r="65" spans="1:10" ht="15.75" customHeight="1">
      <c r="A65" s="155"/>
      <c r="B65" s="25" t="s">
        <v>53</v>
      </c>
      <c r="C65" s="25"/>
      <c r="D65" s="369" t="s">
        <v>54</v>
      </c>
      <c r="E65" s="370"/>
      <c r="F65" s="40"/>
      <c r="G65" s="27">
        <v>600000</v>
      </c>
      <c r="H65" s="27">
        <v>600000</v>
      </c>
      <c r="I65" s="27">
        <f>'2. Bevétel funkció'!H18</f>
        <v>587550</v>
      </c>
      <c r="J65" s="236">
        <f>I65/H65</f>
        <v>0.97925</v>
      </c>
    </row>
    <row r="66" spans="1:10" ht="15.75" customHeight="1">
      <c r="A66" s="155"/>
      <c r="B66" s="25"/>
      <c r="C66" s="25"/>
      <c r="D66" s="25"/>
      <c r="E66" s="25"/>
      <c r="F66" s="40"/>
      <c r="G66" s="27"/>
      <c r="H66" s="27"/>
      <c r="I66" s="27"/>
      <c r="J66" s="241"/>
    </row>
    <row r="67" spans="1:10" ht="15.75" customHeight="1">
      <c r="A67" s="229" t="s">
        <v>10</v>
      </c>
      <c r="B67" s="30"/>
      <c r="C67" s="411" t="s">
        <v>11</v>
      </c>
      <c r="D67" s="372"/>
      <c r="E67" s="373"/>
      <c r="F67" s="41"/>
      <c r="G67" s="23">
        <f>SUM(G68:G68)</f>
        <v>200000</v>
      </c>
      <c r="H67" s="23">
        <f>SUM(H68:H68)</f>
        <v>200000</v>
      </c>
      <c r="I67" s="23">
        <f>SUM(I68:I68)</f>
        <v>60002</v>
      </c>
      <c r="J67" s="216">
        <f>I67/H67</f>
        <v>0.30001</v>
      </c>
    </row>
    <row r="68" spans="1:10" ht="15.75">
      <c r="A68" s="155"/>
      <c r="B68" s="25" t="s">
        <v>55</v>
      </c>
      <c r="C68" s="25"/>
      <c r="D68" s="412" t="s">
        <v>127</v>
      </c>
      <c r="E68" s="413"/>
      <c r="F68" s="40"/>
      <c r="G68" s="27">
        <f>'2. Bevétel funkció'!F19</f>
        <v>200000</v>
      </c>
      <c r="H68" s="27">
        <f>'2. Bevétel funkció'!G19</f>
        <v>200000</v>
      </c>
      <c r="I68" s="27">
        <f>'2. Bevétel funkció'!H19</f>
        <v>60002</v>
      </c>
      <c r="J68" s="236">
        <f>I68/H68</f>
        <v>0.30001</v>
      </c>
    </row>
    <row r="69" spans="1:10" ht="15.75" customHeight="1">
      <c r="A69" s="155"/>
      <c r="B69" s="25"/>
      <c r="C69" s="25"/>
      <c r="D69" s="25"/>
      <c r="E69" s="25"/>
      <c r="F69" s="40"/>
      <c r="G69" s="27"/>
      <c r="H69" s="27"/>
      <c r="I69" s="27"/>
      <c r="J69" s="241"/>
    </row>
    <row r="70" spans="1:10" ht="15.75" customHeight="1">
      <c r="A70" s="242" t="s">
        <v>17</v>
      </c>
      <c r="B70" s="42"/>
      <c r="C70" s="416" t="s">
        <v>18</v>
      </c>
      <c r="D70" s="417"/>
      <c r="E70" s="418"/>
      <c r="F70" s="43"/>
      <c r="G70" s="44">
        <f aca="true" t="shared" si="3" ref="G70:I71">G71</f>
        <v>0</v>
      </c>
      <c r="H70" s="44">
        <f t="shared" si="3"/>
        <v>280670</v>
      </c>
      <c r="I70" s="44">
        <f t="shared" si="3"/>
        <v>280670</v>
      </c>
      <c r="J70" s="216">
        <f>I70/H70</f>
        <v>1</v>
      </c>
    </row>
    <row r="71" spans="1:10" ht="15.75" customHeight="1">
      <c r="A71" s="154" t="s">
        <v>17</v>
      </c>
      <c r="B71" s="24"/>
      <c r="C71" s="366" t="s">
        <v>16</v>
      </c>
      <c r="D71" s="367"/>
      <c r="E71" s="368"/>
      <c r="F71" s="32"/>
      <c r="G71" s="151">
        <f t="shared" si="3"/>
        <v>0</v>
      </c>
      <c r="H71" s="151">
        <f t="shared" si="3"/>
        <v>280670</v>
      </c>
      <c r="I71" s="151">
        <f t="shared" si="3"/>
        <v>280670</v>
      </c>
      <c r="J71" s="235">
        <f>I71/H71</f>
        <v>1</v>
      </c>
    </row>
    <row r="72" spans="1:10" ht="15.75" customHeight="1">
      <c r="A72" s="155"/>
      <c r="B72" s="25"/>
      <c r="C72" s="25" t="s">
        <v>337</v>
      </c>
      <c r="D72" s="369" t="s">
        <v>338</v>
      </c>
      <c r="E72" s="370"/>
      <c r="F72" s="29"/>
      <c r="G72" s="152">
        <v>0</v>
      </c>
      <c r="H72" s="152">
        <f>'2. Bevétel funkció'!G106</f>
        <v>280670</v>
      </c>
      <c r="I72" s="152">
        <f>'2. Bevétel funkció'!H106</f>
        <v>280670</v>
      </c>
      <c r="J72" s="236">
        <f>I72/H72</f>
        <v>1</v>
      </c>
    </row>
    <row r="73" spans="1:10" ht="18.75" customHeight="1">
      <c r="A73" s="155"/>
      <c r="B73" s="25"/>
      <c r="C73" s="25"/>
      <c r="D73" s="25"/>
      <c r="E73" s="25"/>
      <c r="F73" s="25"/>
      <c r="G73" s="29"/>
      <c r="H73" s="29"/>
      <c r="I73" s="29"/>
      <c r="J73" s="237"/>
    </row>
    <row r="74" spans="1:10" ht="15.75" customHeight="1">
      <c r="A74" s="229" t="s">
        <v>20</v>
      </c>
      <c r="B74" s="30"/>
      <c r="C74" s="411" t="s">
        <v>19</v>
      </c>
      <c r="D74" s="372"/>
      <c r="E74" s="373"/>
      <c r="F74" s="41"/>
      <c r="G74" s="23">
        <f>G75</f>
        <v>186060229</v>
      </c>
      <c r="H74" s="23">
        <f>H75</f>
        <v>178595971</v>
      </c>
      <c r="I74" s="23">
        <f>I75</f>
        <v>178595971</v>
      </c>
      <c r="J74" s="243">
        <f>I74/H74</f>
        <v>1</v>
      </c>
    </row>
    <row r="75" spans="1:10" ht="15.75" customHeight="1">
      <c r="A75" s="155"/>
      <c r="B75" s="24" t="s">
        <v>99</v>
      </c>
      <c r="C75" s="24"/>
      <c r="D75" s="366" t="s">
        <v>100</v>
      </c>
      <c r="E75" s="368"/>
      <c r="F75" s="40"/>
      <c r="G75" s="26">
        <f>G76+G77</f>
        <v>186060229</v>
      </c>
      <c r="H75" s="26">
        <f>H76+H77</f>
        <v>178595971</v>
      </c>
      <c r="I75" s="26">
        <f>I76+I77</f>
        <v>178595971</v>
      </c>
      <c r="J75" s="235">
        <f>I75/H75</f>
        <v>1</v>
      </c>
    </row>
    <row r="76" spans="1:10" ht="15.75" customHeight="1">
      <c r="A76" s="155"/>
      <c r="B76" s="25"/>
      <c r="C76" s="25" t="s">
        <v>101</v>
      </c>
      <c r="D76" s="25"/>
      <c r="E76" s="25" t="s">
        <v>102</v>
      </c>
      <c r="F76" s="40"/>
      <c r="G76" s="27">
        <f>'2. Bevétel funkció'!F78</f>
        <v>179590164</v>
      </c>
      <c r="H76" s="27">
        <f>'2. Bevétel funkció'!G78</f>
        <v>175590164</v>
      </c>
      <c r="I76" s="27">
        <f>'2. Bevétel funkció'!H78</f>
        <v>175590164</v>
      </c>
      <c r="J76" s="236">
        <f>I76/H76</f>
        <v>1</v>
      </c>
    </row>
    <row r="77" spans="1:10" ht="15.75" customHeight="1">
      <c r="A77" s="155"/>
      <c r="B77" s="25"/>
      <c r="C77" s="25" t="s">
        <v>128</v>
      </c>
      <c r="D77" s="25"/>
      <c r="E77" s="25" t="s">
        <v>129</v>
      </c>
      <c r="F77" s="25"/>
      <c r="G77" s="29">
        <f>'2. Bevétel funkció'!F66</f>
        <v>6470065</v>
      </c>
      <c r="H77" s="29">
        <f>'2. Bevétel funkció'!G66</f>
        <v>3005807</v>
      </c>
      <c r="I77" s="29">
        <f>'2. Bevétel funkció'!H66</f>
        <v>3005807</v>
      </c>
      <c r="J77" s="236">
        <f>I77/H77</f>
        <v>1</v>
      </c>
    </row>
    <row r="78" spans="1:10" ht="15.75" customHeight="1" thickBot="1">
      <c r="A78" s="244"/>
      <c r="B78" s="245"/>
      <c r="C78" s="245" t="s">
        <v>113</v>
      </c>
      <c r="D78" s="245"/>
      <c r="E78" s="245"/>
      <c r="F78" s="245"/>
      <c r="G78" s="246">
        <f>G10+G30+G33+G46+G64+G67+G70+G74</f>
        <v>617400070</v>
      </c>
      <c r="H78" s="246">
        <f>H10+H30+H33+H46+H64+H67+H70+H74</f>
        <v>655950691</v>
      </c>
      <c r="I78" s="246">
        <f>I10+I30+I33+I46+I64+I67+I70+I74</f>
        <v>656362785</v>
      </c>
      <c r="J78" s="247">
        <f>I78/H78</f>
        <v>1.0006282392955053</v>
      </c>
    </row>
  </sheetData>
  <sheetProtection selectLockedCells="1" selectUnlockedCells="1"/>
  <mergeCells count="56">
    <mergeCell ref="D75:E75"/>
    <mergeCell ref="D60:E60"/>
    <mergeCell ref="D61:E61"/>
    <mergeCell ref="C64:E64"/>
    <mergeCell ref="D65:E65"/>
    <mergeCell ref="C67:E67"/>
    <mergeCell ref="D62:E62"/>
    <mergeCell ref="C70:E70"/>
    <mergeCell ref="C71:E71"/>
    <mergeCell ref="D72:E72"/>
    <mergeCell ref="C74:E74"/>
    <mergeCell ref="D56:E56"/>
    <mergeCell ref="D53:E53"/>
    <mergeCell ref="D54:E54"/>
    <mergeCell ref="D55:E55"/>
    <mergeCell ref="D68:E68"/>
    <mergeCell ref="C46:E46"/>
    <mergeCell ref="D47:E47"/>
    <mergeCell ref="D48:E48"/>
    <mergeCell ref="D57:E57"/>
    <mergeCell ref="D58:E58"/>
    <mergeCell ref="D59:E59"/>
    <mergeCell ref="D49:E49"/>
    <mergeCell ref="D50:E50"/>
    <mergeCell ref="D51:E51"/>
    <mergeCell ref="D52:E52"/>
    <mergeCell ref="D22:E22"/>
    <mergeCell ref="D23:E23"/>
    <mergeCell ref="D24:E24"/>
    <mergeCell ref="D25:E25"/>
    <mergeCell ref="C30:E30"/>
    <mergeCell ref="D31:E31"/>
    <mergeCell ref="D28:E28"/>
    <mergeCell ref="D26:E26"/>
    <mergeCell ref="D27:E27"/>
    <mergeCell ref="D11:E11"/>
    <mergeCell ref="D12:E12"/>
    <mergeCell ref="D18:E18"/>
    <mergeCell ref="D19:E19"/>
    <mergeCell ref="D20:E20"/>
    <mergeCell ref="D21:E21"/>
    <mergeCell ref="C33:E33"/>
    <mergeCell ref="D34:E34"/>
    <mergeCell ref="D37:E37"/>
    <mergeCell ref="D38:E38"/>
    <mergeCell ref="D40:E40"/>
    <mergeCell ref="D42:E42"/>
    <mergeCell ref="I7:I9"/>
    <mergeCell ref="J7:J9"/>
    <mergeCell ref="A3:J3"/>
    <mergeCell ref="A1:J1"/>
    <mergeCell ref="A4:J4"/>
    <mergeCell ref="A5:J5"/>
    <mergeCell ref="H7:H9"/>
    <mergeCell ref="A7:F9"/>
    <mergeCell ref="G7:G9"/>
  </mergeCells>
  <printOptions headings="1"/>
  <pageMargins left="0.2362204724409449" right="0.2362204724409449" top="0.7480314960629921" bottom="0.7480314960629921" header="0.5118110236220472" footer="0.5118110236220472"/>
  <pageSetup horizontalDpi="300" verticalDpi="300" orientation="portrait" paperSize="9" scale="68" r:id="rId1"/>
  <rowBreaks count="1" manualBreakCount="1">
    <brk id="4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zoomScalePageLayoutView="0" workbookViewId="0" topLeftCell="A1">
      <selection activeCell="A5" sqref="A5:H5"/>
    </sheetView>
  </sheetViews>
  <sheetFormatPr defaultColWidth="9.140625" defaultRowHeight="12.75"/>
  <cols>
    <col min="1" max="1" width="2.00390625" style="1" customWidth="1"/>
    <col min="2" max="2" width="2.140625" style="1" customWidth="1"/>
    <col min="3" max="3" width="1.421875" style="1" customWidth="1"/>
    <col min="4" max="4" width="47.28125" style="1" customWidth="1"/>
    <col min="5" max="6" width="14.00390625" style="1" bestFit="1" customWidth="1"/>
    <col min="7" max="7" width="9.421875" style="1" customWidth="1"/>
    <col min="8" max="8" width="14.00390625" style="1" bestFit="1" customWidth="1"/>
    <col min="9" max="16384" width="9.140625" style="1" customWidth="1"/>
  </cols>
  <sheetData>
    <row r="1" spans="1:8" ht="15.75">
      <c r="A1" s="419" t="s">
        <v>422</v>
      </c>
      <c r="B1" s="419"/>
      <c r="C1" s="419"/>
      <c r="D1" s="419"/>
      <c r="E1" s="419"/>
      <c r="F1" s="419"/>
      <c r="G1" s="419"/>
      <c r="H1" s="419"/>
    </row>
    <row r="2" spans="1:8" ht="15.75">
      <c r="A2" s="45"/>
      <c r="B2" s="45"/>
      <c r="C2" s="45"/>
      <c r="D2" s="3"/>
      <c r="E2" s="3"/>
      <c r="F2" s="3"/>
      <c r="G2" s="3"/>
      <c r="H2" s="3"/>
    </row>
    <row r="3" spans="1:8" ht="15.75">
      <c r="A3" s="357" t="s">
        <v>0</v>
      </c>
      <c r="B3" s="357"/>
      <c r="C3" s="357"/>
      <c r="D3" s="357"/>
      <c r="E3" s="357"/>
      <c r="F3" s="357"/>
      <c r="G3" s="357"/>
      <c r="H3" s="357"/>
    </row>
    <row r="4" spans="1:8" ht="15.75">
      <c r="A4" s="420" t="s">
        <v>432</v>
      </c>
      <c r="B4" s="420"/>
      <c r="C4" s="420"/>
      <c r="D4" s="420"/>
      <c r="E4" s="420"/>
      <c r="F4" s="420"/>
      <c r="G4" s="420"/>
      <c r="H4" s="420"/>
    </row>
    <row r="5" spans="1:8" ht="15.75">
      <c r="A5" s="420" t="s">
        <v>130</v>
      </c>
      <c r="B5" s="420"/>
      <c r="C5" s="420"/>
      <c r="D5" s="420"/>
      <c r="E5" s="420"/>
      <c r="F5" s="420"/>
      <c r="G5" s="420"/>
      <c r="H5" s="420"/>
    </row>
    <row r="6" spans="4:8" ht="15.75">
      <c r="D6" s="46"/>
      <c r="E6" s="421" t="s">
        <v>131</v>
      </c>
      <c r="F6" s="421"/>
      <c r="G6" s="421"/>
      <c r="H6" s="421"/>
    </row>
    <row r="7" spans="1:8" ht="12.75" customHeight="1">
      <c r="A7" s="422" t="s">
        <v>132</v>
      </c>
      <c r="B7" s="422"/>
      <c r="C7" s="422"/>
      <c r="D7" s="422"/>
      <c r="E7" s="423" t="s">
        <v>133</v>
      </c>
      <c r="F7" s="423" t="s">
        <v>134</v>
      </c>
      <c r="G7" s="423" t="s">
        <v>135</v>
      </c>
      <c r="H7" s="423" t="s">
        <v>136</v>
      </c>
    </row>
    <row r="8" spans="1:8" ht="15.75">
      <c r="A8" s="422"/>
      <c r="B8" s="422"/>
      <c r="C8" s="422"/>
      <c r="D8" s="422"/>
      <c r="E8" s="423"/>
      <c r="F8" s="423"/>
      <c r="G8" s="423"/>
      <c r="H8" s="423"/>
    </row>
    <row r="9" spans="1:8" ht="36.75" customHeight="1">
      <c r="A9" s="422"/>
      <c r="B9" s="422"/>
      <c r="C9" s="422"/>
      <c r="D9" s="422"/>
      <c r="E9" s="423"/>
      <c r="F9" s="423"/>
      <c r="G9" s="423"/>
      <c r="H9" s="423"/>
    </row>
    <row r="10" spans="1:9" ht="15.75">
      <c r="A10" s="424" t="s">
        <v>137</v>
      </c>
      <c r="B10" s="424"/>
      <c r="C10" s="424"/>
      <c r="D10" s="424"/>
      <c r="E10" s="48">
        <f>'2. Bevétel funkció'!H10</f>
        <v>11488389</v>
      </c>
      <c r="F10" s="49"/>
      <c r="G10" s="49"/>
      <c r="H10" s="48">
        <f aca="true" t="shared" si="0" ref="H10:H27">E10+F10+G10</f>
        <v>11488389</v>
      </c>
      <c r="I10" s="50"/>
    </row>
    <row r="11" spans="1:9" ht="15.75">
      <c r="A11" s="426" t="s">
        <v>138</v>
      </c>
      <c r="B11" s="427"/>
      <c r="C11" s="427"/>
      <c r="D11" s="428"/>
      <c r="E11" s="51">
        <f>'2. Bevétel funkció'!H22</f>
        <v>128609943</v>
      </c>
      <c r="F11" s="51"/>
      <c r="G11" s="52"/>
      <c r="H11" s="48">
        <f t="shared" si="0"/>
        <v>128609943</v>
      </c>
      <c r="I11" s="53"/>
    </row>
    <row r="12" spans="1:9" ht="15.75">
      <c r="A12" s="424" t="s">
        <v>139</v>
      </c>
      <c r="B12" s="424"/>
      <c r="C12" s="424"/>
      <c r="D12" s="424"/>
      <c r="E12" s="48">
        <f>'2. Bevétel funkció'!H35</f>
        <v>199390</v>
      </c>
      <c r="F12" s="48"/>
      <c r="G12" s="54"/>
      <c r="H12" s="48">
        <f t="shared" si="0"/>
        <v>199390</v>
      </c>
      <c r="I12" s="53"/>
    </row>
    <row r="13" spans="1:9" ht="15.75">
      <c r="A13" s="424" t="s">
        <v>140</v>
      </c>
      <c r="B13" s="424"/>
      <c r="C13" s="424"/>
      <c r="D13" s="424"/>
      <c r="E13" s="48">
        <f>'2. Bevétel funkció'!H40</f>
        <v>97595318</v>
      </c>
      <c r="F13" s="48"/>
      <c r="G13" s="54"/>
      <c r="H13" s="48">
        <f t="shared" si="0"/>
        <v>97595318</v>
      </c>
      <c r="I13" s="53"/>
    </row>
    <row r="14" spans="1:9" ht="15.75">
      <c r="A14" s="425" t="s">
        <v>141</v>
      </c>
      <c r="B14" s="425"/>
      <c r="C14" s="425"/>
      <c r="D14" s="425"/>
      <c r="E14" s="51">
        <f>'2. Bevétel funkció'!H51</f>
        <v>111399635</v>
      </c>
      <c r="F14" s="51"/>
      <c r="G14" s="52"/>
      <c r="H14" s="48">
        <f t="shared" si="0"/>
        <v>111399635</v>
      </c>
      <c r="I14" s="53"/>
    </row>
    <row r="15" spans="1:9" ht="15.75">
      <c r="A15" s="426" t="s">
        <v>142</v>
      </c>
      <c r="B15" s="427"/>
      <c r="C15" s="427"/>
      <c r="D15" s="428"/>
      <c r="E15" s="51">
        <f>'2. Bevétel funkció'!H64</f>
        <v>3005807</v>
      </c>
      <c r="F15" s="51"/>
      <c r="G15" s="52"/>
      <c r="H15" s="48">
        <f t="shared" si="0"/>
        <v>3005807</v>
      </c>
      <c r="I15" s="53"/>
    </row>
    <row r="16" spans="1:9" ht="15.75">
      <c r="A16" s="425" t="s">
        <v>143</v>
      </c>
      <c r="B16" s="425"/>
      <c r="C16" s="425"/>
      <c r="D16" s="425"/>
      <c r="E16" s="51">
        <f>'2. Bevétel funkció'!H68</f>
        <v>184882051</v>
      </c>
      <c r="F16" s="51"/>
      <c r="G16" s="52"/>
      <c r="H16" s="48">
        <f t="shared" si="0"/>
        <v>184882051</v>
      </c>
      <c r="I16" s="53"/>
    </row>
    <row r="17" spans="1:9" ht="15.75">
      <c r="A17" s="426" t="s">
        <v>144</v>
      </c>
      <c r="B17" s="427"/>
      <c r="C17" s="427"/>
      <c r="D17" s="428"/>
      <c r="E17" s="51"/>
      <c r="F17" s="51"/>
      <c r="G17" s="52"/>
      <c r="H17" s="48">
        <f t="shared" si="0"/>
        <v>0</v>
      </c>
      <c r="I17" s="53"/>
    </row>
    <row r="18" spans="1:9" ht="15.75">
      <c r="A18" s="425" t="s">
        <v>341</v>
      </c>
      <c r="B18" s="425"/>
      <c r="C18" s="425"/>
      <c r="D18" s="425"/>
      <c r="E18" s="51"/>
      <c r="F18" s="51">
        <f>'2. Bevétel funkció'!H80</f>
        <v>2496185</v>
      </c>
      <c r="G18" s="52"/>
      <c r="H18" s="48">
        <f t="shared" si="0"/>
        <v>2496185</v>
      </c>
      <c r="I18" s="53"/>
    </row>
    <row r="19" spans="1:9" ht="15.75">
      <c r="A19" s="426" t="s">
        <v>320</v>
      </c>
      <c r="B19" s="427"/>
      <c r="C19" s="427"/>
      <c r="D19" s="428"/>
      <c r="E19" s="51"/>
      <c r="F19" s="51">
        <f>'2. Bevétel funkció'!H84</f>
        <v>830500</v>
      </c>
      <c r="G19" s="52"/>
      <c r="H19" s="48">
        <f t="shared" si="0"/>
        <v>830500</v>
      </c>
      <c r="I19" s="53"/>
    </row>
    <row r="20" spans="1:9" ht="15.75">
      <c r="A20" s="424" t="s">
        <v>104</v>
      </c>
      <c r="B20" s="424"/>
      <c r="C20" s="424"/>
      <c r="D20" s="424"/>
      <c r="E20" s="48"/>
      <c r="F20" s="48">
        <f>'2. Bevétel funkció'!H89</f>
        <v>495275</v>
      </c>
      <c r="G20" s="54"/>
      <c r="H20" s="48">
        <f t="shared" si="0"/>
        <v>495275</v>
      </c>
      <c r="I20" s="53"/>
    </row>
    <row r="21" spans="1:9" ht="15.75">
      <c r="A21" s="424" t="s">
        <v>394</v>
      </c>
      <c r="B21" s="424"/>
      <c r="C21" s="424"/>
      <c r="D21" s="424"/>
      <c r="E21" s="48"/>
      <c r="F21" s="48">
        <f>'2. Bevétel funkció'!H94</f>
        <v>19367228</v>
      </c>
      <c r="G21" s="54"/>
      <c r="H21" s="48">
        <f t="shared" si="0"/>
        <v>19367228</v>
      </c>
      <c r="I21" s="53"/>
    </row>
    <row r="22" spans="1:9" ht="15.75">
      <c r="A22" s="424" t="s">
        <v>107</v>
      </c>
      <c r="B22" s="424"/>
      <c r="C22" s="424"/>
      <c r="D22" s="424"/>
      <c r="E22" s="48">
        <v>0</v>
      </c>
      <c r="F22" s="48">
        <f>'2. Bevétel funkció'!H101</f>
        <v>1156239</v>
      </c>
      <c r="G22" s="54"/>
      <c r="H22" s="48">
        <f t="shared" si="0"/>
        <v>1156239</v>
      </c>
      <c r="I22" s="55"/>
    </row>
    <row r="23" spans="1:9" ht="15.75">
      <c r="A23" s="424" t="s">
        <v>108</v>
      </c>
      <c r="B23" s="424"/>
      <c r="C23" s="424"/>
      <c r="D23" s="424"/>
      <c r="E23" s="48">
        <v>0</v>
      </c>
      <c r="F23" s="48"/>
      <c r="G23" s="54"/>
      <c r="H23" s="48">
        <f t="shared" si="0"/>
        <v>0</v>
      </c>
      <c r="I23" s="55"/>
    </row>
    <row r="24" spans="1:9" ht="15.75">
      <c r="A24" s="424" t="s">
        <v>109</v>
      </c>
      <c r="B24" s="424"/>
      <c r="C24" s="424"/>
      <c r="D24" s="424"/>
      <c r="E24" s="48"/>
      <c r="F24" s="48">
        <f>'2. Bevétel funkció'!H105</f>
        <v>280670</v>
      </c>
      <c r="G24" s="54"/>
      <c r="H24" s="48">
        <f t="shared" si="0"/>
        <v>280670</v>
      </c>
      <c r="I24" s="55"/>
    </row>
    <row r="25" spans="1:9" ht="15.75">
      <c r="A25" s="424" t="s">
        <v>110</v>
      </c>
      <c r="B25" s="424"/>
      <c r="C25" s="424"/>
      <c r="D25" s="424"/>
      <c r="E25" s="48"/>
      <c r="F25" s="48">
        <f>'2. Bevétel funkció'!H109</f>
        <v>88427585</v>
      </c>
      <c r="G25" s="54"/>
      <c r="H25" s="48">
        <f t="shared" si="0"/>
        <v>88427585</v>
      </c>
      <c r="I25" s="55"/>
    </row>
    <row r="26" spans="1:9" ht="15.75">
      <c r="A26" s="424" t="s">
        <v>112</v>
      </c>
      <c r="B26" s="424"/>
      <c r="C26" s="424"/>
      <c r="D26" s="424"/>
      <c r="E26" s="48"/>
      <c r="F26" s="48">
        <f>'2. Bevétel funkció'!H115</f>
        <v>91570</v>
      </c>
      <c r="G26" s="54"/>
      <c r="H26" s="48">
        <f t="shared" si="0"/>
        <v>91570</v>
      </c>
      <c r="I26" s="55"/>
    </row>
    <row r="27" spans="1:9" ht="15.75">
      <c r="A27" s="424" t="s">
        <v>145</v>
      </c>
      <c r="B27" s="424"/>
      <c r="C27" s="424"/>
      <c r="D27" s="424"/>
      <c r="E27" s="48"/>
      <c r="F27" s="48">
        <f>'2. Bevétel funkció'!H120</f>
        <v>6037000</v>
      </c>
      <c r="G27" s="54"/>
      <c r="H27" s="48">
        <f t="shared" si="0"/>
        <v>6037000</v>
      </c>
      <c r="I27" s="55"/>
    </row>
    <row r="28" spans="1:9" ht="15.75">
      <c r="A28" s="429" t="s">
        <v>113</v>
      </c>
      <c r="B28" s="429"/>
      <c r="C28" s="429"/>
      <c r="D28" s="429"/>
      <c r="E28" s="57">
        <f>SUM(E10:E27)</f>
        <v>537180533</v>
      </c>
      <c r="F28" s="57">
        <f>SUM(F10:F27)</f>
        <v>119182252</v>
      </c>
      <c r="G28" s="57">
        <f>SUM(G10:G27)</f>
        <v>0</v>
      </c>
      <c r="H28" s="57">
        <f>SUM(H10:H27)</f>
        <v>656362785</v>
      </c>
      <c r="I28" s="53"/>
    </row>
  </sheetData>
  <sheetProtection selectLockedCells="1" selectUnlockedCells="1"/>
  <mergeCells count="29">
    <mergeCell ref="A28:D28"/>
    <mergeCell ref="A23:D23"/>
    <mergeCell ref="A24:D24"/>
    <mergeCell ref="A25:D25"/>
    <mergeCell ref="A26:D26"/>
    <mergeCell ref="A27:D27"/>
    <mergeCell ref="A22:D22"/>
    <mergeCell ref="A18:D18"/>
    <mergeCell ref="A21:D21"/>
    <mergeCell ref="A11:D11"/>
    <mergeCell ref="A15:D15"/>
    <mergeCell ref="A17:D17"/>
    <mergeCell ref="A19:D19"/>
    <mergeCell ref="A10:D10"/>
    <mergeCell ref="A12:D12"/>
    <mergeCell ref="A13:D13"/>
    <mergeCell ref="A14:D14"/>
    <mergeCell ref="A16:D16"/>
    <mergeCell ref="A20:D20"/>
    <mergeCell ref="A1:H1"/>
    <mergeCell ref="A3:H3"/>
    <mergeCell ref="A4:H4"/>
    <mergeCell ref="A5:H5"/>
    <mergeCell ref="E6:H6"/>
    <mergeCell ref="A7:D9"/>
    <mergeCell ref="E7:E9"/>
    <mergeCell ref="F7:F9"/>
    <mergeCell ref="G7:G9"/>
    <mergeCell ref="H7:H9"/>
  </mergeCells>
  <printOptions headings="1"/>
  <pageMargins left="0.7083333333333334" right="0.6527777777777778" top="0.7479166666666667" bottom="0.7479166666666667" header="0.5118055555555555" footer="0.511805555555555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0"/>
  <sheetViews>
    <sheetView view="pageBreakPreview" zoomScaleSheetLayoutView="100" zoomScalePageLayoutView="0" workbookViewId="0" topLeftCell="A118">
      <selection activeCell="I64" sqref="I64"/>
    </sheetView>
  </sheetViews>
  <sheetFormatPr defaultColWidth="9.140625" defaultRowHeight="12.75" customHeight="1"/>
  <cols>
    <col min="1" max="1" width="3.57421875" style="58" customWidth="1"/>
    <col min="2" max="2" width="5.8515625" style="55" customWidth="1"/>
    <col min="3" max="3" width="7.140625" style="55" customWidth="1"/>
    <col min="4" max="4" width="6.421875" style="55" customWidth="1"/>
    <col min="5" max="5" width="54.8515625" style="55" customWidth="1"/>
    <col min="6" max="6" width="9.8515625" style="55" customWidth="1"/>
    <col min="7" max="7" width="18.57421875" style="55" customWidth="1"/>
    <col min="8" max="8" width="13.421875" style="1" customWidth="1"/>
    <col min="9" max="9" width="12.421875" style="1" bestFit="1" customWidth="1"/>
    <col min="10" max="10" width="8.421875" style="1" customWidth="1"/>
    <col min="11" max="16384" width="9.140625" style="1" customWidth="1"/>
  </cols>
  <sheetData>
    <row r="1" spans="1:10" ht="15.75" customHeight="1">
      <c r="A1" s="434" t="s">
        <v>423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7" ht="15.75" customHeight="1">
      <c r="A2" s="339"/>
      <c r="B2" s="339"/>
      <c r="C2" s="339"/>
      <c r="D2" s="339"/>
      <c r="E2" s="339"/>
      <c r="F2" s="339"/>
      <c r="G2" s="339"/>
    </row>
    <row r="3" spans="1:10" ht="15.75" customHeight="1">
      <c r="A3" s="357" t="s">
        <v>0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15.75" customHeight="1">
      <c r="A4" s="357" t="s">
        <v>433</v>
      </c>
      <c r="B4" s="357"/>
      <c r="C4" s="357"/>
      <c r="D4" s="357"/>
      <c r="E4" s="357"/>
      <c r="F4" s="357"/>
      <c r="G4" s="357"/>
      <c r="H4" s="357"/>
      <c r="I4" s="357"/>
      <c r="J4" s="357"/>
    </row>
    <row r="5" spans="1:10" ht="15.75" customHeight="1">
      <c r="A5" s="357" t="s">
        <v>43</v>
      </c>
      <c r="B5" s="357"/>
      <c r="C5" s="357"/>
      <c r="D5" s="357"/>
      <c r="E5" s="357"/>
      <c r="F5" s="357"/>
      <c r="G5" s="357"/>
      <c r="H5" s="357"/>
      <c r="I5" s="357"/>
      <c r="J5" s="357"/>
    </row>
    <row r="6" spans="1:8" ht="15.75" customHeight="1" thickBot="1">
      <c r="A6" s="434" t="s">
        <v>146</v>
      </c>
      <c r="B6" s="434"/>
      <c r="C6" s="434"/>
      <c r="D6" s="434"/>
      <c r="E6" s="434"/>
      <c r="F6" s="434"/>
      <c r="G6" s="434"/>
      <c r="H6" s="434"/>
    </row>
    <row r="7" spans="1:10" ht="15.75" customHeight="1">
      <c r="A7" s="464" t="s">
        <v>147</v>
      </c>
      <c r="B7" s="465"/>
      <c r="C7" s="465"/>
      <c r="D7" s="465"/>
      <c r="E7" s="465"/>
      <c r="F7" s="468" t="s">
        <v>148</v>
      </c>
      <c r="G7" s="462" t="s">
        <v>2</v>
      </c>
      <c r="H7" s="462" t="s">
        <v>392</v>
      </c>
      <c r="I7" s="430" t="s">
        <v>523</v>
      </c>
      <c r="J7" s="432" t="s">
        <v>428</v>
      </c>
    </row>
    <row r="8" spans="1:10" s="20" customFormat="1" ht="20.25" customHeight="1">
      <c r="A8" s="466"/>
      <c r="B8" s="467"/>
      <c r="C8" s="467"/>
      <c r="D8" s="467"/>
      <c r="E8" s="467"/>
      <c r="F8" s="469"/>
      <c r="G8" s="463"/>
      <c r="H8" s="463"/>
      <c r="I8" s="431"/>
      <c r="J8" s="433"/>
    </row>
    <row r="9" spans="1:10" s="53" customFormat="1" ht="31.5" customHeight="1">
      <c r="A9" s="470" t="s">
        <v>149</v>
      </c>
      <c r="B9" s="471"/>
      <c r="C9" s="471"/>
      <c r="D9" s="471"/>
      <c r="E9" s="472"/>
      <c r="F9" s="90"/>
      <c r="G9" s="91">
        <f>G10+G18+G21+G37+G42</f>
        <v>40550867.315</v>
      </c>
      <c r="H9" s="91">
        <f>H10+H18+H21+H37+H42</f>
        <v>64241404.315</v>
      </c>
      <c r="I9" s="91">
        <f>I10+I18+I21+I37+I42</f>
        <v>35432038</v>
      </c>
      <c r="J9" s="269">
        <f>I9/H9</f>
        <v>0.5515451970237647</v>
      </c>
    </row>
    <row r="10" spans="1:10" s="53" customFormat="1" ht="15.75" customHeight="1">
      <c r="A10" s="270" t="s">
        <v>23</v>
      </c>
      <c r="B10" s="93"/>
      <c r="C10" s="437" t="s">
        <v>150</v>
      </c>
      <c r="D10" s="438"/>
      <c r="E10" s="439"/>
      <c r="F10" s="89">
        <v>1</v>
      </c>
      <c r="G10" s="94">
        <f>G11</f>
        <v>11414673</v>
      </c>
      <c r="H10" s="94">
        <f>H11</f>
        <v>11414673</v>
      </c>
      <c r="I10" s="94">
        <f>I11</f>
        <v>11411673</v>
      </c>
      <c r="J10" s="271">
        <f aca="true" t="shared" si="0" ref="J10:J19">I10/H10</f>
        <v>0.9997371803817771</v>
      </c>
    </row>
    <row r="11" spans="1:10" s="53" customFormat="1" ht="15.75" customHeight="1">
      <c r="A11" s="272"/>
      <c r="B11" s="93" t="s">
        <v>157</v>
      </c>
      <c r="C11" s="93"/>
      <c r="D11" s="437" t="s">
        <v>158</v>
      </c>
      <c r="E11" s="439"/>
      <c r="F11" s="96"/>
      <c r="G11" s="94">
        <f>G12+G17</f>
        <v>11414673</v>
      </c>
      <c r="H11" s="94">
        <f>H12+H17</f>
        <v>11414673</v>
      </c>
      <c r="I11" s="94">
        <f>I12+I17</f>
        <v>11411673</v>
      </c>
      <c r="J11" s="271">
        <f t="shared" si="0"/>
        <v>0.9997371803817771</v>
      </c>
    </row>
    <row r="12" spans="1:10" s="53" customFormat="1" ht="15.75" customHeight="1">
      <c r="A12" s="272"/>
      <c r="B12" s="96"/>
      <c r="C12" s="96" t="s">
        <v>159</v>
      </c>
      <c r="D12" s="435" t="s">
        <v>160</v>
      </c>
      <c r="E12" s="436"/>
      <c r="F12" s="96"/>
      <c r="G12" s="97">
        <f>SUM(G13:G16)</f>
        <v>10694673</v>
      </c>
      <c r="H12" s="97">
        <f>SUM(H13:H16)</f>
        <v>10694673</v>
      </c>
      <c r="I12" s="97">
        <f>SUM(I13:I16)</f>
        <v>10691673</v>
      </c>
      <c r="J12" s="273">
        <f>I12/H12</f>
        <v>0.9997194865144544</v>
      </c>
    </row>
    <row r="13" spans="1:10" s="53" customFormat="1" ht="15.75" customHeight="1">
      <c r="A13" s="272"/>
      <c r="B13" s="96"/>
      <c r="C13" s="96"/>
      <c r="D13" s="96"/>
      <c r="E13" s="98" t="s">
        <v>161</v>
      </c>
      <c r="F13" s="96"/>
      <c r="G13" s="99">
        <v>4786800</v>
      </c>
      <c r="H13" s="99">
        <v>4786800</v>
      </c>
      <c r="I13" s="99">
        <v>4786800</v>
      </c>
      <c r="J13" s="273">
        <f t="shared" si="0"/>
        <v>1</v>
      </c>
    </row>
    <row r="14" spans="1:10" s="53" customFormat="1" ht="15.75" customHeight="1">
      <c r="A14" s="272"/>
      <c r="B14" s="96"/>
      <c r="C14" s="96"/>
      <c r="D14" s="96"/>
      <c r="E14" s="98" t="s">
        <v>156</v>
      </c>
      <c r="F14" s="96"/>
      <c r="G14" s="99">
        <v>173913</v>
      </c>
      <c r="H14" s="99">
        <v>173913</v>
      </c>
      <c r="I14" s="99">
        <v>173913</v>
      </c>
      <c r="J14" s="273">
        <f t="shared" si="0"/>
        <v>1</v>
      </c>
    </row>
    <row r="15" spans="1:10" s="53" customFormat="1" ht="15.75" customHeight="1">
      <c r="A15" s="272"/>
      <c r="B15" s="96"/>
      <c r="C15" s="96"/>
      <c r="D15" s="96"/>
      <c r="E15" s="98" t="s">
        <v>162</v>
      </c>
      <c r="F15" s="96"/>
      <c r="G15" s="99">
        <v>4800000</v>
      </c>
      <c r="H15" s="99">
        <v>4800000</v>
      </c>
      <c r="I15" s="99">
        <v>4800000</v>
      </c>
      <c r="J15" s="273">
        <f t="shared" si="0"/>
        <v>1</v>
      </c>
    </row>
    <row r="16" spans="1:10" s="53" customFormat="1" ht="15.75" customHeight="1">
      <c r="A16" s="272"/>
      <c r="B16" s="96"/>
      <c r="C16" s="96"/>
      <c r="D16" s="98"/>
      <c r="E16" s="98" t="s">
        <v>163</v>
      </c>
      <c r="F16" s="96"/>
      <c r="G16" s="99">
        <f>717960+216000</f>
        <v>933960</v>
      </c>
      <c r="H16" s="99">
        <f>717960+216000</f>
        <v>933960</v>
      </c>
      <c r="I16" s="99">
        <v>930960</v>
      </c>
      <c r="J16" s="273">
        <f t="shared" si="0"/>
        <v>0.9967878710008994</v>
      </c>
    </row>
    <row r="17" spans="1:10" s="53" customFormat="1" ht="15.75" customHeight="1">
      <c r="A17" s="272"/>
      <c r="B17" s="96"/>
      <c r="C17" s="96" t="s">
        <v>164</v>
      </c>
      <c r="D17" s="435" t="s">
        <v>165</v>
      </c>
      <c r="E17" s="436"/>
      <c r="F17" s="96"/>
      <c r="G17" s="97">
        <v>720000</v>
      </c>
      <c r="H17" s="97">
        <v>720000</v>
      </c>
      <c r="I17" s="97">
        <v>720000</v>
      </c>
      <c r="J17" s="273">
        <f t="shared" si="0"/>
        <v>1</v>
      </c>
    </row>
    <row r="18" spans="1:10" s="53" customFormat="1" ht="15.75" customHeight="1">
      <c r="A18" s="270" t="s">
        <v>25</v>
      </c>
      <c r="B18" s="93"/>
      <c r="C18" s="437" t="s">
        <v>166</v>
      </c>
      <c r="D18" s="438"/>
      <c r="E18" s="439"/>
      <c r="F18" s="100"/>
      <c r="G18" s="94">
        <f>SUM(G19:G20)</f>
        <v>1769274.315</v>
      </c>
      <c r="H18" s="94">
        <f>SUM(H19:H20)</f>
        <v>1769274.315</v>
      </c>
      <c r="I18" s="94">
        <f>SUM(I19:I20)</f>
        <v>1671695</v>
      </c>
      <c r="J18" s="271">
        <f t="shared" si="0"/>
        <v>0.9448478315811645</v>
      </c>
    </row>
    <row r="19" spans="1:10" s="53" customFormat="1" ht="15.75" customHeight="1">
      <c r="A19" s="272"/>
      <c r="B19" s="96"/>
      <c r="C19" s="96"/>
      <c r="D19" s="450" t="s">
        <v>167</v>
      </c>
      <c r="E19" s="451"/>
      <c r="F19" s="96"/>
      <c r="G19" s="97">
        <f>(G12+G17)*0.155</f>
        <v>1769274.315</v>
      </c>
      <c r="H19" s="97">
        <f>(H12+H17)*0.155</f>
        <v>1769274.315</v>
      </c>
      <c r="I19" s="97">
        <v>1671695</v>
      </c>
      <c r="J19" s="273">
        <f t="shared" si="0"/>
        <v>0.9448478315811645</v>
      </c>
    </row>
    <row r="20" spans="1:10" s="53" customFormat="1" ht="15.75" customHeight="1">
      <c r="A20" s="272"/>
      <c r="B20" s="96"/>
      <c r="C20" s="96"/>
      <c r="D20" s="450" t="s">
        <v>168</v>
      </c>
      <c r="E20" s="451"/>
      <c r="F20" s="96"/>
      <c r="G20" s="97"/>
      <c r="H20" s="97"/>
      <c r="I20" s="97"/>
      <c r="J20" s="274"/>
    </row>
    <row r="21" spans="1:10" s="53" customFormat="1" ht="15.75" customHeight="1">
      <c r="A21" s="270" t="s">
        <v>27</v>
      </c>
      <c r="B21" s="93"/>
      <c r="C21" s="437" t="s">
        <v>28</v>
      </c>
      <c r="D21" s="438"/>
      <c r="E21" s="439"/>
      <c r="F21" s="96"/>
      <c r="G21" s="94">
        <f>G22+G25+G28+G33</f>
        <v>14989000</v>
      </c>
      <c r="H21" s="94">
        <f>H22+H25+H28+H33</f>
        <v>14991373</v>
      </c>
      <c r="I21" s="94">
        <f>I22+I25+I28+I33</f>
        <v>13069847</v>
      </c>
      <c r="J21" s="271">
        <f>I21/H21</f>
        <v>0.8718245486921045</v>
      </c>
    </row>
    <row r="22" spans="1:10" s="59" customFormat="1" ht="15.75" customHeight="1">
      <c r="A22" s="275"/>
      <c r="B22" s="93" t="s">
        <v>169</v>
      </c>
      <c r="C22" s="102"/>
      <c r="D22" s="437" t="s">
        <v>170</v>
      </c>
      <c r="E22" s="439"/>
      <c r="F22" s="101"/>
      <c r="G22" s="94">
        <f>G23+G24</f>
        <v>1100000</v>
      </c>
      <c r="H22" s="94">
        <f>H23+H24</f>
        <v>1100000</v>
      </c>
      <c r="I22" s="94">
        <f>I23+I24</f>
        <v>627638</v>
      </c>
      <c r="J22" s="271">
        <f>I22/H22</f>
        <v>0.57058</v>
      </c>
    </row>
    <row r="23" spans="1:10" s="53" customFormat="1" ht="15.75" customHeight="1">
      <c r="A23" s="272"/>
      <c r="B23" s="96"/>
      <c r="C23" s="96" t="s">
        <v>171</v>
      </c>
      <c r="D23" s="435" t="s">
        <v>172</v>
      </c>
      <c r="E23" s="436"/>
      <c r="F23" s="101"/>
      <c r="G23" s="97">
        <v>200000</v>
      </c>
      <c r="H23" s="97">
        <v>200000</v>
      </c>
      <c r="I23" s="97">
        <v>35895</v>
      </c>
      <c r="J23" s="273">
        <f>I23/H23</f>
        <v>0.179475</v>
      </c>
    </row>
    <row r="24" spans="1:10" s="53" customFormat="1" ht="15.75" customHeight="1">
      <c r="A24" s="272"/>
      <c r="B24" s="96"/>
      <c r="C24" s="96" t="s">
        <v>174</v>
      </c>
      <c r="D24" s="435" t="s">
        <v>175</v>
      </c>
      <c r="E24" s="436"/>
      <c r="F24" s="96"/>
      <c r="G24" s="97">
        <v>900000</v>
      </c>
      <c r="H24" s="97">
        <v>900000</v>
      </c>
      <c r="I24" s="97">
        <v>591743</v>
      </c>
      <c r="J24" s="271">
        <f>I24/H24</f>
        <v>0.6574922222222223</v>
      </c>
    </row>
    <row r="25" spans="1:10" s="59" customFormat="1" ht="15.75" customHeight="1">
      <c r="A25" s="275"/>
      <c r="B25" s="93" t="s">
        <v>177</v>
      </c>
      <c r="C25" s="102"/>
      <c r="D25" s="437" t="s">
        <v>178</v>
      </c>
      <c r="E25" s="439"/>
      <c r="F25" s="98"/>
      <c r="G25" s="94">
        <f>G26+G27</f>
        <v>1650000</v>
      </c>
      <c r="H25" s="94">
        <f>H26+H27</f>
        <v>1650000</v>
      </c>
      <c r="I25" s="94">
        <f>I26+I27</f>
        <v>1188158</v>
      </c>
      <c r="J25" s="271">
        <f>I25/H25</f>
        <v>0.7200957575757576</v>
      </c>
    </row>
    <row r="26" spans="1:10" s="53" customFormat="1" ht="15.75" customHeight="1">
      <c r="A26" s="272"/>
      <c r="B26" s="96"/>
      <c r="C26" s="96" t="s">
        <v>179</v>
      </c>
      <c r="D26" s="435" t="s">
        <v>309</v>
      </c>
      <c r="E26" s="436"/>
      <c r="F26" s="96"/>
      <c r="G26" s="97">
        <v>1200000</v>
      </c>
      <c r="H26" s="97">
        <v>1200000</v>
      </c>
      <c r="I26" s="97">
        <v>817649</v>
      </c>
      <c r="J26" s="273">
        <f aca="true" t="shared" si="1" ref="J26:J46">I26/H26</f>
        <v>0.6813741666666666</v>
      </c>
    </row>
    <row r="27" spans="1:10" s="53" customFormat="1" ht="15.75" customHeight="1">
      <c r="A27" s="272"/>
      <c r="B27" s="96"/>
      <c r="C27" s="96" t="s">
        <v>181</v>
      </c>
      <c r="D27" s="435" t="s">
        <v>310</v>
      </c>
      <c r="E27" s="436"/>
      <c r="F27" s="96"/>
      <c r="G27" s="97">
        <v>450000</v>
      </c>
      <c r="H27" s="97">
        <v>450000</v>
      </c>
      <c r="I27" s="97">
        <v>370509</v>
      </c>
      <c r="J27" s="273">
        <f t="shared" si="1"/>
        <v>0.8233533333333334</v>
      </c>
    </row>
    <row r="28" spans="1:10" s="59" customFormat="1" ht="15.75" customHeight="1">
      <c r="A28" s="275"/>
      <c r="B28" s="93" t="s">
        <v>183</v>
      </c>
      <c r="C28" s="102"/>
      <c r="D28" s="437" t="s">
        <v>184</v>
      </c>
      <c r="E28" s="439"/>
      <c r="F28" s="98"/>
      <c r="G28" s="94">
        <f>G29+G30+G31+G32</f>
        <v>10600000</v>
      </c>
      <c r="H28" s="94">
        <f>H29+H30+H31+H32</f>
        <v>10600000</v>
      </c>
      <c r="I28" s="94">
        <f>I29+I30+I31+I32</f>
        <v>9903469</v>
      </c>
      <c r="J28" s="271">
        <f t="shared" si="1"/>
        <v>0.9342895283018868</v>
      </c>
    </row>
    <row r="29" spans="1:10" s="53" customFormat="1" ht="15.75" customHeight="1">
      <c r="A29" s="272"/>
      <c r="B29" s="96"/>
      <c r="C29" s="96" t="s">
        <v>185</v>
      </c>
      <c r="D29" s="435" t="s">
        <v>186</v>
      </c>
      <c r="E29" s="436"/>
      <c r="F29" s="96"/>
      <c r="G29" s="97">
        <v>2000000</v>
      </c>
      <c r="H29" s="97">
        <v>2000000</v>
      </c>
      <c r="I29" s="97">
        <v>2273618</v>
      </c>
      <c r="J29" s="273">
        <f t="shared" si="1"/>
        <v>1.136809</v>
      </c>
    </row>
    <row r="30" spans="1:10" s="53" customFormat="1" ht="15.75" customHeight="1">
      <c r="A30" s="272"/>
      <c r="B30" s="96"/>
      <c r="C30" s="96" t="s">
        <v>187</v>
      </c>
      <c r="D30" s="435" t="s">
        <v>188</v>
      </c>
      <c r="E30" s="436"/>
      <c r="F30" s="96"/>
      <c r="G30" s="97">
        <v>300000</v>
      </c>
      <c r="H30" s="97">
        <v>300000</v>
      </c>
      <c r="I30" s="97">
        <v>127360</v>
      </c>
      <c r="J30" s="273">
        <f t="shared" si="1"/>
        <v>0.4245333333333333</v>
      </c>
    </row>
    <row r="31" spans="1:10" s="53" customFormat="1" ht="15.75" customHeight="1">
      <c r="A31" s="272"/>
      <c r="B31" s="96"/>
      <c r="C31" s="96" t="s">
        <v>189</v>
      </c>
      <c r="D31" s="435" t="s">
        <v>190</v>
      </c>
      <c r="E31" s="436"/>
      <c r="F31" s="96"/>
      <c r="G31" s="97">
        <v>300000</v>
      </c>
      <c r="H31" s="97">
        <v>300000</v>
      </c>
      <c r="I31" s="97">
        <v>76126</v>
      </c>
      <c r="J31" s="273">
        <f t="shared" si="1"/>
        <v>0.25375333333333333</v>
      </c>
    </row>
    <row r="32" spans="1:10" s="53" customFormat="1" ht="15.75" customHeight="1">
      <c r="A32" s="272"/>
      <c r="B32" s="96"/>
      <c r="C32" s="96" t="s">
        <v>191</v>
      </c>
      <c r="D32" s="435" t="s">
        <v>192</v>
      </c>
      <c r="E32" s="436"/>
      <c r="F32" s="96"/>
      <c r="G32" s="97">
        <f>8000000</f>
        <v>8000000</v>
      </c>
      <c r="H32" s="97">
        <f>8000000</f>
        <v>8000000</v>
      </c>
      <c r="I32" s="97">
        <v>7426365</v>
      </c>
      <c r="J32" s="273">
        <f t="shared" si="1"/>
        <v>0.928295625</v>
      </c>
    </row>
    <row r="33" spans="1:10" s="59" customFormat="1" ht="15.75" customHeight="1">
      <c r="A33" s="275"/>
      <c r="B33" s="93" t="s">
        <v>197</v>
      </c>
      <c r="C33" s="102"/>
      <c r="D33" s="437" t="s">
        <v>198</v>
      </c>
      <c r="E33" s="439"/>
      <c r="F33" s="98"/>
      <c r="G33" s="94">
        <f>G34+G36</f>
        <v>1639000</v>
      </c>
      <c r="H33" s="94">
        <f>H34+H36+H35</f>
        <v>1641373</v>
      </c>
      <c r="I33" s="94">
        <f>I34+I36+I35</f>
        <v>1350582</v>
      </c>
      <c r="J33" s="271">
        <f t="shared" si="1"/>
        <v>0.8228367348555142</v>
      </c>
    </row>
    <row r="34" spans="1:10" s="53" customFormat="1" ht="15.75" customHeight="1">
      <c r="A34" s="272"/>
      <c r="B34" s="96"/>
      <c r="C34" s="96" t="s">
        <v>199</v>
      </c>
      <c r="D34" s="435" t="s">
        <v>200</v>
      </c>
      <c r="E34" s="436"/>
      <c r="F34" s="96"/>
      <c r="G34" s="104">
        <f>2000000-362000</f>
        <v>1638000</v>
      </c>
      <c r="H34" s="104">
        <f>2000000-362000</f>
        <v>1638000</v>
      </c>
      <c r="I34" s="104">
        <v>1347707</v>
      </c>
      <c r="J34" s="273">
        <f t="shared" si="1"/>
        <v>0.8227759462759463</v>
      </c>
    </row>
    <row r="35" spans="1:10" s="53" customFormat="1" ht="15.75" customHeight="1">
      <c r="A35" s="272"/>
      <c r="B35" s="96"/>
      <c r="C35" s="96" t="s">
        <v>417</v>
      </c>
      <c r="D35" s="435" t="s">
        <v>418</v>
      </c>
      <c r="E35" s="436"/>
      <c r="F35" s="96"/>
      <c r="G35" s="104"/>
      <c r="H35" s="104">
        <v>1873</v>
      </c>
      <c r="I35" s="104">
        <v>1873</v>
      </c>
      <c r="J35" s="273">
        <f t="shared" si="1"/>
        <v>1</v>
      </c>
    </row>
    <row r="36" spans="1:10" s="53" customFormat="1" ht="15.75" customHeight="1">
      <c r="A36" s="272"/>
      <c r="B36" s="96"/>
      <c r="C36" s="96" t="s">
        <v>347</v>
      </c>
      <c r="D36" s="435" t="s">
        <v>348</v>
      </c>
      <c r="E36" s="436"/>
      <c r="F36" s="96"/>
      <c r="G36" s="104">
        <v>1000</v>
      </c>
      <c r="H36" s="104">
        <v>1500</v>
      </c>
      <c r="I36" s="104">
        <v>1002</v>
      </c>
      <c r="J36" s="273">
        <f t="shared" si="1"/>
        <v>0.668</v>
      </c>
    </row>
    <row r="37" spans="1:10" s="60" customFormat="1" ht="15.75" customHeight="1">
      <c r="A37" s="270" t="s">
        <v>31</v>
      </c>
      <c r="B37" s="93"/>
      <c r="C37" s="437" t="s">
        <v>32</v>
      </c>
      <c r="D37" s="438"/>
      <c r="E37" s="439"/>
      <c r="F37" s="93"/>
      <c r="G37" s="94">
        <f>G38+G41</f>
        <v>11800000</v>
      </c>
      <c r="H37" s="94">
        <f>H38+H41</f>
        <v>35231187</v>
      </c>
      <c r="I37" s="94">
        <f>I38+I41</f>
        <v>8443926</v>
      </c>
      <c r="J37" s="271">
        <f t="shared" si="1"/>
        <v>0.23967191341012722</v>
      </c>
    </row>
    <row r="38" spans="1:10" s="53" customFormat="1" ht="15.75" customHeight="1">
      <c r="A38" s="272"/>
      <c r="B38" s="96"/>
      <c r="C38" s="96" t="s">
        <v>202</v>
      </c>
      <c r="D38" s="435" t="s">
        <v>203</v>
      </c>
      <c r="E38" s="436"/>
      <c r="F38" s="96"/>
      <c r="G38" s="94">
        <f>G39</f>
        <v>1800000</v>
      </c>
      <c r="H38" s="94">
        <f>H39+H40</f>
        <v>8514600</v>
      </c>
      <c r="I38" s="94">
        <f>I39+I40</f>
        <v>8443926</v>
      </c>
      <c r="J38" s="271">
        <f t="shared" si="1"/>
        <v>0.9916996688041717</v>
      </c>
    </row>
    <row r="39" spans="1:10" s="53" customFormat="1" ht="15.75" customHeight="1">
      <c r="A39" s="272"/>
      <c r="B39" s="96"/>
      <c r="C39" s="96"/>
      <c r="D39" s="96"/>
      <c r="E39" s="96" t="s">
        <v>302</v>
      </c>
      <c r="F39" s="96"/>
      <c r="G39" s="97">
        <v>1800000</v>
      </c>
      <c r="H39" s="97">
        <f>1800000-500000</f>
        <v>1300000</v>
      </c>
      <c r="I39" s="97">
        <f>473140+756186</f>
        <v>1229326</v>
      </c>
      <c r="J39" s="273">
        <f t="shared" si="1"/>
        <v>0.9456353846153847</v>
      </c>
    </row>
    <row r="40" spans="1:10" s="53" customFormat="1" ht="15.75" customHeight="1">
      <c r="A40" s="272"/>
      <c r="B40" s="96"/>
      <c r="C40" s="96"/>
      <c r="D40" s="96"/>
      <c r="E40" s="96" t="s">
        <v>402</v>
      </c>
      <c r="F40" s="96"/>
      <c r="G40" s="97"/>
      <c r="H40" s="97">
        <v>7214600</v>
      </c>
      <c r="I40" s="97">
        <v>7214600</v>
      </c>
      <c r="J40" s="273">
        <f t="shared" si="1"/>
        <v>1</v>
      </c>
    </row>
    <row r="41" spans="1:10" s="53" customFormat="1" ht="15.75" customHeight="1">
      <c r="A41" s="272"/>
      <c r="B41" s="96"/>
      <c r="C41" s="96" t="s">
        <v>204</v>
      </c>
      <c r="D41" s="435" t="s">
        <v>205</v>
      </c>
      <c r="E41" s="436"/>
      <c r="F41" s="96"/>
      <c r="G41" s="97">
        <v>10000000</v>
      </c>
      <c r="H41" s="97">
        <v>26716587</v>
      </c>
      <c r="I41" s="97">
        <v>0</v>
      </c>
      <c r="J41" s="273">
        <f t="shared" si="1"/>
        <v>0</v>
      </c>
    </row>
    <row r="42" spans="1:10" s="53" customFormat="1" ht="15.75" customHeight="1">
      <c r="A42" s="276" t="s">
        <v>34</v>
      </c>
      <c r="B42" s="96"/>
      <c r="C42" s="93" t="s">
        <v>35</v>
      </c>
      <c r="D42" s="96"/>
      <c r="E42" s="96"/>
      <c r="F42" s="96"/>
      <c r="G42" s="94">
        <f>SUM(G43:G46)</f>
        <v>577920</v>
      </c>
      <c r="H42" s="94">
        <f>SUM(H43:H46)</f>
        <v>834897</v>
      </c>
      <c r="I42" s="94">
        <f>SUM(I43:I46)</f>
        <v>834897</v>
      </c>
      <c r="J42" s="271">
        <f>I42/H42</f>
        <v>1</v>
      </c>
    </row>
    <row r="43" spans="1:10" s="53" customFormat="1" ht="15.75" customHeight="1">
      <c r="A43" s="276"/>
      <c r="B43" s="96"/>
      <c r="C43" s="96" t="s">
        <v>357</v>
      </c>
      <c r="D43" s="96"/>
      <c r="E43" s="96" t="s">
        <v>358</v>
      </c>
      <c r="F43" s="96"/>
      <c r="G43" s="97">
        <v>157400</v>
      </c>
      <c r="H43" s="97">
        <v>180588</v>
      </c>
      <c r="I43" s="97">
        <v>180588</v>
      </c>
      <c r="J43" s="273">
        <f t="shared" si="1"/>
        <v>1</v>
      </c>
    </row>
    <row r="44" spans="1:10" s="53" customFormat="1" ht="15.75" customHeight="1">
      <c r="A44" s="276"/>
      <c r="B44" s="96"/>
      <c r="C44" s="96" t="s">
        <v>318</v>
      </c>
      <c r="D44" s="96"/>
      <c r="E44" s="96" t="s">
        <v>317</v>
      </c>
      <c r="F44" s="96"/>
      <c r="G44" s="97">
        <v>0</v>
      </c>
      <c r="H44" s="97">
        <v>179174</v>
      </c>
      <c r="I44" s="97">
        <v>179174</v>
      </c>
      <c r="J44" s="273">
        <f t="shared" si="1"/>
        <v>1</v>
      </c>
    </row>
    <row r="45" spans="1:10" s="53" customFormat="1" ht="15.75" customHeight="1">
      <c r="A45" s="272"/>
      <c r="B45" s="96"/>
      <c r="C45" s="96" t="s">
        <v>206</v>
      </c>
      <c r="D45" s="96"/>
      <c r="E45" s="96" t="s">
        <v>207</v>
      </c>
      <c r="F45" s="96"/>
      <c r="G45" s="97">
        <v>378000</v>
      </c>
      <c r="H45" s="97">
        <v>378000</v>
      </c>
      <c r="I45" s="97">
        <v>378000</v>
      </c>
      <c r="J45" s="273">
        <f t="shared" si="1"/>
        <v>1</v>
      </c>
    </row>
    <row r="46" spans="1:10" s="53" customFormat="1" ht="15.75" customHeight="1">
      <c r="A46" s="272"/>
      <c r="B46" s="96"/>
      <c r="C46" s="96" t="s">
        <v>225</v>
      </c>
      <c r="D46" s="96"/>
      <c r="E46" s="96" t="s">
        <v>226</v>
      </c>
      <c r="F46" s="96"/>
      <c r="G46" s="97">
        <v>42520</v>
      </c>
      <c r="H46" s="97">
        <v>97135</v>
      </c>
      <c r="I46" s="97">
        <v>97135</v>
      </c>
      <c r="J46" s="273">
        <f t="shared" si="1"/>
        <v>1</v>
      </c>
    </row>
    <row r="47" spans="1:10" s="53" customFormat="1" ht="15.75" customHeight="1">
      <c r="A47" s="272"/>
      <c r="B47" s="96"/>
      <c r="C47" s="96"/>
      <c r="D47" s="96"/>
      <c r="E47" s="96"/>
      <c r="F47" s="96"/>
      <c r="G47" s="97"/>
      <c r="H47" s="97"/>
      <c r="I47" s="97"/>
      <c r="J47" s="274"/>
    </row>
    <row r="48" spans="1:10" s="53" customFormat="1" ht="15.75" customHeight="1">
      <c r="A48" s="384" t="s">
        <v>399</v>
      </c>
      <c r="B48" s="385"/>
      <c r="C48" s="385"/>
      <c r="D48" s="385"/>
      <c r="E48" s="386"/>
      <c r="F48" s="105"/>
      <c r="G48" s="91">
        <f aca="true" t="shared" si="2" ref="G48:I49">G49</f>
        <v>0</v>
      </c>
      <c r="H48" s="91">
        <f t="shared" si="2"/>
        <v>449981</v>
      </c>
      <c r="I48" s="91">
        <f t="shared" si="2"/>
        <v>449981</v>
      </c>
      <c r="J48" s="269">
        <f>I48/H48</f>
        <v>1</v>
      </c>
    </row>
    <row r="49" spans="1:10" s="53" customFormat="1" ht="15.75" customHeight="1">
      <c r="A49" s="277" t="s">
        <v>31</v>
      </c>
      <c r="B49" s="149"/>
      <c r="C49" s="459" t="s">
        <v>32</v>
      </c>
      <c r="D49" s="460"/>
      <c r="E49" s="461"/>
      <c r="F49" s="93"/>
      <c r="G49" s="94">
        <f t="shared" si="2"/>
        <v>0</v>
      </c>
      <c r="H49" s="94">
        <f t="shared" si="2"/>
        <v>449981</v>
      </c>
      <c r="I49" s="94">
        <f t="shared" si="2"/>
        <v>449981</v>
      </c>
      <c r="J49" s="271">
        <f>I49/H49</f>
        <v>1</v>
      </c>
    </row>
    <row r="50" spans="1:10" s="53" customFormat="1" ht="15.75" customHeight="1">
      <c r="A50" s="278"/>
      <c r="B50" s="149"/>
      <c r="C50" s="149" t="s">
        <v>400</v>
      </c>
      <c r="D50" s="473" t="s">
        <v>401</v>
      </c>
      <c r="E50" s="473"/>
      <c r="F50" s="93"/>
      <c r="G50" s="97">
        <v>0</v>
      </c>
      <c r="H50" s="97">
        <v>449981</v>
      </c>
      <c r="I50" s="97">
        <v>449981</v>
      </c>
      <c r="J50" s="273">
        <f>I50/H50</f>
        <v>1</v>
      </c>
    </row>
    <row r="51" spans="1:10" s="53" customFormat="1" ht="15.75" customHeight="1">
      <c r="A51" s="278"/>
      <c r="B51" s="149"/>
      <c r="C51" s="149"/>
      <c r="D51" s="149"/>
      <c r="E51" s="149"/>
      <c r="F51" s="93"/>
      <c r="G51" s="97"/>
      <c r="H51" s="97"/>
      <c r="I51" s="97"/>
      <c r="J51" s="274"/>
    </row>
    <row r="52" spans="1:10" s="53" customFormat="1" ht="15.75" customHeight="1">
      <c r="A52" s="384" t="s">
        <v>208</v>
      </c>
      <c r="B52" s="385"/>
      <c r="C52" s="385"/>
      <c r="D52" s="385"/>
      <c r="E52" s="386"/>
      <c r="F52" s="105"/>
      <c r="G52" s="91">
        <f>G55+G53</f>
        <v>9111679</v>
      </c>
      <c r="H52" s="91">
        <f>H55+H53</f>
        <v>6111679</v>
      </c>
      <c r="I52" s="91">
        <f>I55+I53</f>
        <v>6111679</v>
      </c>
      <c r="J52" s="269">
        <f>I52/H52</f>
        <v>1</v>
      </c>
    </row>
    <row r="53" spans="1:10" s="53" customFormat="1" ht="15.75" customHeight="1">
      <c r="A53" s="270" t="s">
        <v>31</v>
      </c>
      <c r="B53" s="93"/>
      <c r="C53" s="437" t="s">
        <v>32</v>
      </c>
      <c r="D53" s="438"/>
      <c r="E53" s="439"/>
      <c r="F53" s="157"/>
      <c r="G53" s="158">
        <f>SUM(G54)</f>
        <v>2641614</v>
      </c>
      <c r="H53" s="158">
        <f>SUM(H54)</f>
        <v>2641614</v>
      </c>
      <c r="I53" s="158">
        <f>SUM(I54)</f>
        <v>2641614</v>
      </c>
      <c r="J53" s="271">
        <f>I53/H53</f>
        <v>1</v>
      </c>
    </row>
    <row r="54" spans="1:10" s="53" customFormat="1" ht="15.75" customHeight="1">
      <c r="A54" s="279"/>
      <c r="B54" s="156"/>
      <c r="C54" s="159" t="s">
        <v>363</v>
      </c>
      <c r="D54" s="156"/>
      <c r="E54" s="159" t="s">
        <v>364</v>
      </c>
      <c r="F54" s="157"/>
      <c r="G54" s="160">
        <v>2641614</v>
      </c>
      <c r="H54" s="160">
        <v>2641614</v>
      </c>
      <c r="I54" s="160">
        <v>2641614</v>
      </c>
      <c r="J54" s="273">
        <f>I54/H54</f>
        <v>1</v>
      </c>
    </row>
    <row r="55" spans="1:10" s="53" customFormat="1" ht="15.75" customHeight="1">
      <c r="A55" s="270" t="s">
        <v>41</v>
      </c>
      <c r="B55" s="96"/>
      <c r="C55" s="437" t="s">
        <v>40</v>
      </c>
      <c r="D55" s="438"/>
      <c r="E55" s="439"/>
      <c r="F55" s="93"/>
      <c r="G55" s="94">
        <f>G56+G57</f>
        <v>6470065</v>
      </c>
      <c r="H55" s="94">
        <f>H56+H57</f>
        <v>3470065</v>
      </c>
      <c r="I55" s="94">
        <f>I56+I57</f>
        <v>3470065</v>
      </c>
      <c r="J55" s="271">
        <f>I55/H55</f>
        <v>1</v>
      </c>
    </row>
    <row r="56" spans="1:10" s="53" customFormat="1" ht="15.75" customHeight="1">
      <c r="A56" s="270"/>
      <c r="B56" s="96"/>
      <c r="C56" s="96" t="s">
        <v>209</v>
      </c>
      <c r="D56" s="93"/>
      <c r="E56" s="96" t="s">
        <v>210</v>
      </c>
      <c r="F56" s="93"/>
      <c r="G56" s="97">
        <v>3470065</v>
      </c>
      <c r="H56" s="97">
        <v>3470065</v>
      </c>
      <c r="I56" s="97">
        <v>3470065</v>
      </c>
      <c r="J56" s="273">
        <f>I56/H56</f>
        <v>1</v>
      </c>
    </row>
    <row r="57" spans="1:10" s="53" customFormat="1" ht="15.75" customHeight="1">
      <c r="A57" s="270"/>
      <c r="B57" s="96"/>
      <c r="C57" s="93"/>
      <c r="D57" s="93"/>
      <c r="E57" s="96" t="s">
        <v>211</v>
      </c>
      <c r="F57" s="93"/>
      <c r="G57" s="97">
        <v>3000000</v>
      </c>
      <c r="H57" s="97">
        <v>0</v>
      </c>
      <c r="I57" s="97">
        <v>0</v>
      </c>
      <c r="J57" s="274">
        <v>0</v>
      </c>
    </row>
    <row r="58" spans="1:10" s="53" customFormat="1" ht="15.75" customHeight="1">
      <c r="A58" s="270"/>
      <c r="B58" s="96"/>
      <c r="C58" s="93"/>
      <c r="D58" s="93"/>
      <c r="E58" s="96"/>
      <c r="F58" s="93"/>
      <c r="G58" s="97"/>
      <c r="H58" s="280"/>
      <c r="I58" s="280"/>
      <c r="J58" s="281"/>
    </row>
    <row r="59" spans="1:10" s="53" customFormat="1" ht="15.75" customHeight="1">
      <c r="A59" s="384" t="s">
        <v>212</v>
      </c>
      <c r="B59" s="385"/>
      <c r="C59" s="385"/>
      <c r="D59" s="385"/>
      <c r="E59" s="386"/>
      <c r="F59" s="105"/>
      <c r="G59" s="91">
        <f>G60</f>
        <v>82193039</v>
      </c>
      <c r="H59" s="91">
        <f>H60</f>
        <v>82193039</v>
      </c>
      <c r="I59" s="91">
        <f>I60</f>
        <v>77344578</v>
      </c>
      <c r="J59" s="269">
        <f>I59/H59</f>
        <v>0.9410112941559443</v>
      </c>
    </row>
    <row r="60" spans="1:10" s="53" customFormat="1" ht="15.75" customHeight="1">
      <c r="A60" s="270" t="s">
        <v>31</v>
      </c>
      <c r="B60" s="93"/>
      <c r="C60" s="437" t="s">
        <v>32</v>
      </c>
      <c r="D60" s="438"/>
      <c r="E60" s="439"/>
      <c r="F60" s="96"/>
      <c r="G60" s="94">
        <f>G64+G61</f>
        <v>82193039</v>
      </c>
      <c r="H60" s="94">
        <f>H64+H61</f>
        <v>82193039</v>
      </c>
      <c r="I60" s="94">
        <f>I64+I61</f>
        <v>77344578</v>
      </c>
      <c r="J60" s="271">
        <f>I60/H60</f>
        <v>0.9410112941559443</v>
      </c>
    </row>
    <row r="61" spans="1:10" s="53" customFormat="1" ht="15.75" customHeight="1">
      <c r="A61" s="270"/>
      <c r="B61" s="93"/>
      <c r="C61" s="96" t="s">
        <v>201</v>
      </c>
      <c r="D61" s="435" t="s">
        <v>324</v>
      </c>
      <c r="E61" s="436"/>
      <c r="F61" s="96"/>
      <c r="G61" s="94">
        <f>G62+G63</f>
        <v>24428024</v>
      </c>
      <c r="H61" s="94">
        <f>H62+H63</f>
        <v>24428024</v>
      </c>
      <c r="I61" s="94">
        <f>I62+I63</f>
        <v>24827084</v>
      </c>
      <c r="J61" s="271">
        <f>I61/H61</f>
        <v>1.0163361555564216</v>
      </c>
    </row>
    <row r="62" spans="1:10" s="53" customFormat="1" ht="15.75" customHeight="1">
      <c r="A62" s="270"/>
      <c r="B62" s="93"/>
      <c r="C62" s="93"/>
      <c r="D62" s="474" t="s">
        <v>325</v>
      </c>
      <c r="E62" s="475"/>
      <c r="F62" s="96"/>
      <c r="G62" s="97">
        <v>23342024</v>
      </c>
      <c r="H62" s="97">
        <v>23342024</v>
      </c>
      <c r="I62" s="97">
        <v>23342025</v>
      </c>
      <c r="J62" s="273">
        <f>I62/H62</f>
        <v>1.0000000428411864</v>
      </c>
    </row>
    <row r="63" spans="1:10" s="53" customFormat="1" ht="31.5" customHeight="1">
      <c r="A63" s="270"/>
      <c r="B63" s="93"/>
      <c r="C63" s="93"/>
      <c r="D63" s="474" t="s">
        <v>327</v>
      </c>
      <c r="E63" s="475"/>
      <c r="F63" s="96"/>
      <c r="G63" s="97">
        <f>330000+378000+378000</f>
        <v>1086000</v>
      </c>
      <c r="H63" s="97">
        <f>330000+378000+378000</f>
        <v>1086000</v>
      </c>
      <c r="I63" s="97">
        <v>1485059</v>
      </c>
      <c r="J63" s="273">
        <f>I63/H63</f>
        <v>1.3674576427255984</v>
      </c>
    </row>
    <row r="64" spans="1:10" s="53" customFormat="1" ht="15.75">
      <c r="A64" s="272"/>
      <c r="B64" s="96"/>
      <c r="C64" s="96" t="s">
        <v>201</v>
      </c>
      <c r="D64" s="474" t="s">
        <v>329</v>
      </c>
      <c r="E64" s="475"/>
      <c r="F64" s="96">
        <f>F66+F67+F68</f>
        <v>52689015</v>
      </c>
      <c r="G64" s="94">
        <f>G65+G69+G70</f>
        <v>57765015</v>
      </c>
      <c r="H64" s="94">
        <f>H65+H69+H70</f>
        <v>57765015</v>
      </c>
      <c r="I64" s="94">
        <f>I65+I69+I70</f>
        <v>52517494</v>
      </c>
      <c r="J64" s="271">
        <f aca="true" t="shared" si="3" ref="J64:J70">I64/H64</f>
        <v>0.90915745455965</v>
      </c>
    </row>
    <row r="65" spans="1:10" s="53" customFormat="1" ht="15.75">
      <c r="A65" s="272"/>
      <c r="B65" s="96"/>
      <c r="C65" s="96"/>
      <c r="D65" s="474" t="s">
        <v>328</v>
      </c>
      <c r="E65" s="475"/>
      <c r="F65" s="96"/>
      <c r="G65" s="94">
        <f>F66+F67+F68</f>
        <v>52689015</v>
      </c>
      <c r="H65" s="94">
        <f>G66+G67+G68</f>
        <v>52689015</v>
      </c>
      <c r="I65" s="94">
        <f>I66+I67+I68</f>
        <v>47987921</v>
      </c>
      <c r="J65" s="271">
        <f t="shared" si="3"/>
        <v>0.9107765821775184</v>
      </c>
    </row>
    <row r="66" spans="1:10" s="53" customFormat="1" ht="15.75" customHeight="1">
      <c r="A66" s="272"/>
      <c r="B66" s="96"/>
      <c r="C66" s="96"/>
      <c r="D66" s="435" t="s">
        <v>213</v>
      </c>
      <c r="E66" s="436"/>
      <c r="F66" s="96">
        <v>44699037</v>
      </c>
      <c r="G66" s="97">
        <v>44699037</v>
      </c>
      <c r="H66" s="97">
        <v>44699037</v>
      </c>
      <c r="I66" s="97">
        <v>39997943</v>
      </c>
      <c r="J66" s="273">
        <f t="shared" si="3"/>
        <v>0.8948278460674667</v>
      </c>
    </row>
    <row r="67" spans="1:10" s="53" customFormat="1" ht="15.75" customHeight="1">
      <c r="A67" s="272"/>
      <c r="B67" s="96"/>
      <c r="C67" s="96"/>
      <c r="D67" s="435" t="s">
        <v>214</v>
      </c>
      <c r="E67" s="436"/>
      <c r="F67" s="96">
        <v>2658447</v>
      </c>
      <c r="G67" s="97">
        <v>2658447</v>
      </c>
      <c r="H67" s="97">
        <v>2658447</v>
      </c>
      <c r="I67" s="97">
        <v>2658447</v>
      </c>
      <c r="J67" s="273">
        <f t="shared" si="3"/>
        <v>1</v>
      </c>
    </row>
    <row r="68" spans="1:10" s="53" customFormat="1" ht="15.75" customHeight="1">
      <c r="A68" s="272"/>
      <c r="B68" s="96"/>
      <c r="C68" s="96"/>
      <c r="D68" s="435" t="s">
        <v>215</v>
      </c>
      <c r="E68" s="436"/>
      <c r="F68" s="96">
        <v>5331531</v>
      </c>
      <c r="G68" s="97">
        <v>5331531</v>
      </c>
      <c r="H68" s="97">
        <v>5331531</v>
      </c>
      <c r="I68" s="97">
        <v>5331531</v>
      </c>
      <c r="J68" s="273">
        <f t="shared" si="3"/>
        <v>1</v>
      </c>
    </row>
    <row r="69" spans="1:10" s="53" customFormat="1" ht="15.75" customHeight="1">
      <c r="A69" s="272"/>
      <c r="B69" s="96"/>
      <c r="C69" s="96"/>
      <c r="D69" s="435" t="s">
        <v>216</v>
      </c>
      <c r="E69" s="436"/>
      <c r="F69" s="96"/>
      <c r="G69" s="97">
        <v>576000</v>
      </c>
      <c r="H69" s="97">
        <v>576000</v>
      </c>
      <c r="I69" s="97">
        <v>192000</v>
      </c>
      <c r="J69" s="273">
        <f t="shared" si="3"/>
        <v>0.3333333333333333</v>
      </c>
    </row>
    <row r="70" spans="1:10" s="53" customFormat="1" ht="15.75" customHeight="1">
      <c r="A70" s="272"/>
      <c r="B70" s="96"/>
      <c r="C70" s="96"/>
      <c r="D70" s="435" t="s">
        <v>326</v>
      </c>
      <c r="E70" s="436"/>
      <c r="F70" s="96"/>
      <c r="G70" s="97">
        <v>4500000</v>
      </c>
      <c r="H70" s="97">
        <v>4500000</v>
      </c>
      <c r="I70" s="97">
        <v>4337573</v>
      </c>
      <c r="J70" s="273">
        <f t="shared" si="3"/>
        <v>0.9639051111111111</v>
      </c>
    </row>
    <row r="71" spans="1:10" s="53" customFormat="1" ht="15.75" customHeight="1">
      <c r="A71" s="272"/>
      <c r="B71" s="96"/>
      <c r="C71" s="96"/>
      <c r="D71" s="96"/>
      <c r="E71" s="96"/>
      <c r="F71" s="96"/>
      <c r="G71" s="94"/>
      <c r="H71" s="94"/>
      <c r="I71" s="94"/>
      <c r="J71" s="282"/>
    </row>
    <row r="72" spans="1:10" s="53" customFormat="1" ht="15.75" customHeight="1">
      <c r="A72" s="270"/>
      <c r="B72" s="96"/>
      <c r="C72" s="93"/>
      <c r="D72" s="93"/>
      <c r="E72" s="96"/>
      <c r="F72" s="93"/>
      <c r="G72" s="97"/>
      <c r="H72" s="97"/>
      <c r="I72" s="97"/>
      <c r="J72" s="274"/>
    </row>
    <row r="73" spans="1:10" s="53" customFormat="1" ht="15.75" customHeight="1">
      <c r="A73" s="384" t="s">
        <v>217</v>
      </c>
      <c r="B73" s="385"/>
      <c r="C73" s="385"/>
      <c r="D73" s="385"/>
      <c r="E73" s="386"/>
      <c r="F73" s="106">
        <v>0.5</v>
      </c>
      <c r="G73" s="91">
        <f>G74+G79+G82</f>
        <v>2881515.0149999997</v>
      </c>
      <c r="H73" s="91">
        <f>H74+H79+H82</f>
        <v>2882947</v>
      </c>
      <c r="I73" s="91">
        <f>I74+I79+I82</f>
        <v>2290656</v>
      </c>
      <c r="J73" s="269">
        <f aca="true" t="shared" si="4" ref="J73:J80">I73/H73</f>
        <v>0.7945536286307032</v>
      </c>
    </row>
    <row r="74" spans="1:10" s="53" customFormat="1" ht="15.75" customHeight="1">
      <c r="A74" s="270" t="s">
        <v>23</v>
      </c>
      <c r="B74" s="93"/>
      <c r="C74" s="437" t="s">
        <v>150</v>
      </c>
      <c r="D74" s="438"/>
      <c r="E74" s="439"/>
      <c r="F74" s="89"/>
      <c r="G74" s="94">
        <f>G75</f>
        <v>1300013</v>
      </c>
      <c r="H74" s="94">
        <f>H75</f>
        <v>1300013</v>
      </c>
      <c r="I74" s="94">
        <f>I75</f>
        <v>1203247</v>
      </c>
      <c r="J74" s="271">
        <f t="shared" si="4"/>
        <v>0.9255653597310181</v>
      </c>
    </row>
    <row r="75" spans="1:10" s="53" customFormat="1" ht="15.75" customHeight="1">
      <c r="A75" s="272"/>
      <c r="B75" s="93" t="s">
        <v>151</v>
      </c>
      <c r="C75" s="96"/>
      <c r="D75" s="435" t="s">
        <v>152</v>
      </c>
      <c r="E75" s="436"/>
      <c r="F75" s="96"/>
      <c r="G75" s="97">
        <f>SUM(G76:G78)</f>
        <v>1300013</v>
      </c>
      <c r="H75" s="97">
        <f>SUM(H76:H78)</f>
        <v>1300013</v>
      </c>
      <c r="I75" s="97">
        <f>SUM(I76:I78)</f>
        <v>1203247</v>
      </c>
      <c r="J75" s="273">
        <f t="shared" si="4"/>
        <v>0.9255653597310181</v>
      </c>
    </row>
    <row r="76" spans="1:10" s="53" customFormat="1" ht="15.75" customHeight="1">
      <c r="A76" s="283"/>
      <c r="B76" s="96"/>
      <c r="C76" s="96" t="s">
        <v>153</v>
      </c>
      <c r="D76" s="435" t="s">
        <v>154</v>
      </c>
      <c r="E76" s="436"/>
      <c r="F76" s="96"/>
      <c r="G76" s="97">
        <f>1119744*1.04</f>
        <v>1164533.76</v>
      </c>
      <c r="H76" s="97">
        <v>1164534</v>
      </c>
      <c r="I76" s="97">
        <v>1071360</v>
      </c>
      <c r="J76" s="273">
        <f t="shared" si="4"/>
        <v>0.9199903137220553</v>
      </c>
    </row>
    <row r="77" spans="1:10" s="53" customFormat="1" ht="15.75" customHeight="1">
      <c r="A77" s="283"/>
      <c r="B77" s="96"/>
      <c r="C77" s="96" t="s">
        <v>311</v>
      </c>
      <c r="D77" s="435" t="s">
        <v>321</v>
      </c>
      <c r="E77" s="436"/>
      <c r="F77" s="96"/>
      <c r="G77" s="97">
        <f>46656*1.04</f>
        <v>48522.240000000005</v>
      </c>
      <c r="H77" s="97">
        <v>48522</v>
      </c>
      <c r="I77" s="97">
        <v>44928</v>
      </c>
      <c r="J77" s="273">
        <f t="shared" si="4"/>
        <v>0.925930505749969</v>
      </c>
    </row>
    <row r="78" spans="1:10" s="60" customFormat="1" ht="15.75" customHeight="1">
      <c r="A78" s="272"/>
      <c r="B78" s="96"/>
      <c r="C78" s="96" t="s">
        <v>155</v>
      </c>
      <c r="D78" s="435" t="s">
        <v>156</v>
      </c>
      <c r="E78" s="436"/>
      <c r="F78" s="96"/>
      <c r="G78" s="97">
        <v>86957</v>
      </c>
      <c r="H78" s="97">
        <v>86957</v>
      </c>
      <c r="I78" s="97">
        <v>86959</v>
      </c>
      <c r="J78" s="273">
        <f t="shared" si="4"/>
        <v>1.0000229998735006</v>
      </c>
    </row>
    <row r="79" spans="1:10" s="53" customFormat="1" ht="15.75" customHeight="1">
      <c r="A79" s="270" t="s">
        <v>25</v>
      </c>
      <c r="B79" s="93"/>
      <c r="C79" s="437" t="s">
        <v>166</v>
      </c>
      <c r="D79" s="438"/>
      <c r="E79" s="439"/>
      <c r="F79" s="100"/>
      <c r="G79" s="94">
        <f>SUM(G80:G81)</f>
        <v>201502.01499999998</v>
      </c>
      <c r="H79" s="94">
        <f>SUM(H80:H81)</f>
        <v>201502</v>
      </c>
      <c r="I79" s="94">
        <f>SUM(I80:I81)</f>
        <v>186072</v>
      </c>
      <c r="J79" s="271">
        <f t="shared" si="4"/>
        <v>0.9234250776667229</v>
      </c>
    </row>
    <row r="80" spans="1:10" s="53" customFormat="1" ht="15.75" customHeight="1">
      <c r="A80" s="272"/>
      <c r="B80" s="96"/>
      <c r="C80" s="96"/>
      <c r="D80" s="450" t="s">
        <v>167</v>
      </c>
      <c r="E80" s="451"/>
      <c r="F80" s="96"/>
      <c r="G80" s="97">
        <f>G75*0.155</f>
        <v>201502.01499999998</v>
      </c>
      <c r="H80" s="97">
        <v>201502</v>
      </c>
      <c r="I80" s="97">
        <v>186072</v>
      </c>
      <c r="J80" s="273">
        <f t="shared" si="4"/>
        <v>0.9234250776667229</v>
      </c>
    </row>
    <row r="81" spans="1:10" s="53" customFormat="1" ht="15.75" customHeight="1">
      <c r="A81" s="272"/>
      <c r="B81" s="96"/>
      <c r="C81" s="96"/>
      <c r="D81" s="450" t="s">
        <v>168</v>
      </c>
      <c r="E81" s="451"/>
      <c r="F81" s="96"/>
      <c r="G81" s="97">
        <v>0</v>
      </c>
      <c r="H81" s="97">
        <v>0</v>
      </c>
      <c r="I81" s="97">
        <v>0</v>
      </c>
      <c r="J81" s="274">
        <v>0</v>
      </c>
    </row>
    <row r="82" spans="1:10" s="53" customFormat="1" ht="15.75" customHeight="1">
      <c r="A82" s="270" t="s">
        <v>27</v>
      </c>
      <c r="B82" s="93"/>
      <c r="C82" s="437" t="s">
        <v>28</v>
      </c>
      <c r="D82" s="438"/>
      <c r="E82" s="439"/>
      <c r="F82" s="96"/>
      <c r="G82" s="94">
        <f>G83+G85+G89</f>
        <v>1380000</v>
      </c>
      <c r="H82" s="94">
        <f>H83+H85+H89</f>
        <v>1381432</v>
      </c>
      <c r="I82" s="94">
        <f>I83+I85+I89</f>
        <v>901337</v>
      </c>
      <c r="J82" s="271">
        <f aca="true" t="shared" si="5" ref="J82:J89">I82/H82</f>
        <v>0.6524657022567886</v>
      </c>
    </row>
    <row r="83" spans="1:10" s="53" customFormat="1" ht="15.75" customHeight="1">
      <c r="A83" s="275"/>
      <c r="B83" s="93" t="s">
        <v>169</v>
      </c>
      <c r="C83" s="102"/>
      <c r="D83" s="437" t="s">
        <v>170</v>
      </c>
      <c r="E83" s="439"/>
      <c r="F83" s="101"/>
      <c r="G83" s="94">
        <f>+G84</f>
        <v>200000</v>
      </c>
      <c r="H83" s="94">
        <f>+H84</f>
        <v>200000</v>
      </c>
      <c r="I83" s="94">
        <f>+I84</f>
        <v>101204</v>
      </c>
      <c r="J83" s="271">
        <f t="shared" si="5"/>
        <v>0.50602</v>
      </c>
    </row>
    <row r="84" spans="1:10" s="53" customFormat="1" ht="15.75" customHeight="1">
      <c r="A84" s="272"/>
      <c r="B84" s="96"/>
      <c r="C84" s="96" t="s">
        <v>174</v>
      </c>
      <c r="D84" s="435" t="s">
        <v>175</v>
      </c>
      <c r="E84" s="436"/>
      <c r="F84" s="96"/>
      <c r="G84" s="97">
        <v>200000</v>
      </c>
      <c r="H84" s="97">
        <v>200000</v>
      </c>
      <c r="I84" s="97">
        <v>101204</v>
      </c>
      <c r="J84" s="273">
        <f t="shared" si="5"/>
        <v>0.50602</v>
      </c>
    </row>
    <row r="85" spans="1:10" s="53" customFormat="1" ht="15.75" customHeight="1">
      <c r="A85" s="275"/>
      <c r="B85" s="93" t="s">
        <v>183</v>
      </c>
      <c r="C85" s="102"/>
      <c r="D85" s="437" t="s">
        <v>184</v>
      </c>
      <c r="E85" s="439"/>
      <c r="F85" s="98"/>
      <c r="G85" s="94">
        <f>G86+G87+G88</f>
        <v>880000</v>
      </c>
      <c r="H85" s="94">
        <f>H86+H87+H88</f>
        <v>881432</v>
      </c>
      <c r="I85" s="94">
        <f>I86+I87+I88</f>
        <v>609356</v>
      </c>
      <c r="J85" s="271">
        <f t="shared" si="5"/>
        <v>0.6913250256400948</v>
      </c>
    </row>
    <row r="86" spans="1:10" s="53" customFormat="1" ht="15.75" customHeight="1">
      <c r="A86" s="272"/>
      <c r="B86" s="96"/>
      <c r="C86" s="96" t="s">
        <v>185</v>
      </c>
      <c r="D86" s="435" t="s">
        <v>186</v>
      </c>
      <c r="E86" s="436"/>
      <c r="F86" s="96"/>
      <c r="G86" s="97">
        <v>130000</v>
      </c>
      <c r="H86" s="97">
        <v>131432</v>
      </c>
      <c r="I86" s="97">
        <v>131432</v>
      </c>
      <c r="J86" s="273">
        <f t="shared" si="5"/>
        <v>1</v>
      </c>
    </row>
    <row r="87" spans="1:10" s="53" customFormat="1" ht="15.75" customHeight="1">
      <c r="A87" s="272"/>
      <c r="B87" s="96"/>
      <c r="C87" s="96" t="s">
        <v>189</v>
      </c>
      <c r="D87" s="435" t="s">
        <v>190</v>
      </c>
      <c r="E87" s="436"/>
      <c r="F87" s="96"/>
      <c r="G87" s="97">
        <v>250000</v>
      </c>
      <c r="H87" s="97">
        <v>250000</v>
      </c>
      <c r="I87" s="97">
        <v>42600</v>
      </c>
      <c r="J87" s="273">
        <f t="shared" si="5"/>
        <v>0.1704</v>
      </c>
    </row>
    <row r="88" spans="1:10" s="53" customFormat="1" ht="15.75" customHeight="1">
      <c r="A88" s="272"/>
      <c r="B88" s="96"/>
      <c r="C88" s="96" t="s">
        <v>191</v>
      </c>
      <c r="D88" s="435" t="s">
        <v>192</v>
      </c>
      <c r="E88" s="436"/>
      <c r="F88" s="96"/>
      <c r="G88" s="97">
        <v>500000</v>
      </c>
      <c r="H88" s="97">
        <v>500000</v>
      </c>
      <c r="I88" s="97">
        <v>435324</v>
      </c>
      <c r="J88" s="273">
        <f t="shared" si="5"/>
        <v>0.870648</v>
      </c>
    </row>
    <row r="89" spans="1:10" s="53" customFormat="1" ht="15.75" customHeight="1">
      <c r="A89" s="275"/>
      <c r="B89" s="93" t="s">
        <v>197</v>
      </c>
      <c r="C89" s="102"/>
      <c r="D89" s="437" t="s">
        <v>198</v>
      </c>
      <c r="E89" s="439"/>
      <c r="F89" s="98"/>
      <c r="G89" s="94">
        <f>G90</f>
        <v>300000</v>
      </c>
      <c r="H89" s="94">
        <f>H90</f>
        <v>300000</v>
      </c>
      <c r="I89" s="94">
        <f>I90</f>
        <v>190777</v>
      </c>
      <c r="J89" s="271">
        <f t="shared" si="5"/>
        <v>0.6359233333333333</v>
      </c>
    </row>
    <row r="90" spans="1:10" s="53" customFormat="1" ht="15.75" customHeight="1">
      <c r="A90" s="272"/>
      <c r="B90" s="96"/>
      <c r="C90" s="96" t="s">
        <v>199</v>
      </c>
      <c r="D90" s="435" t="s">
        <v>200</v>
      </c>
      <c r="E90" s="436"/>
      <c r="F90" s="96"/>
      <c r="G90" s="104">
        <v>300000</v>
      </c>
      <c r="H90" s="104">
        <v>300000</v>
      </c>
      <c r="I90" s="104">
        <v>190777</v>
      </c>
      <c r="J90" s="284">
        <v>300002</v>
      </c>
    </row>
    <row r="91" spans="1:10" s="53" customFormat="1" ht="15.75" customHeight="1">
      <c r="A91" s="272"/>
      <c r="B91" s="96"/>
      <c r="C91" s="96"/>
      <c r="D91" s="96"/>
      <c r="E91" s="96"/>
      <c r="F91" s="101"/>
      <c r="G91" s="99"/>
      <c r="H91" s="99"/>
      <c r="I91" s="99"/>
      <c r="J91" s="285"/>
    </row>
    <row r="92" spans="1:10" s="53" customFormat="1" ht="15.75" customHeight="1">
      <c r="A92" s="384" t="s">
        <v>78</v>
      </c>
      <c r="B92" s="385"/>
      <c r="C92" s="385"/>
      <c r="D92" s="385"/>
      <c r="E92" s="386"/>
      <c r="F92" s="108"/>
      <c r="G92" s="91">
        <f>G93</f>
        <v>67989485</v>
      </c>
      <c r="H92" s="91">
        <f>H93</f>
        <v>68789485</v>
      </c>
      <c r="I92" s="91">
        <f>I93</f>
        <v>39893075</v>
      </c>
      <c r="J92" s="269">
        <f aca="true" t="shared" si="6" ref="J92:J99">I92/H92</f>
        <v>0.579929839567777</v>
      </c>
    </row>
    <row r="93" spans="1:10" s="53" customFormat="1" ht="15.75" customHeight="1">
      <c r="A93" s="270" t="s">
        <v>27</v>
      </c>
      <c r="B93" s="93"/>
      <c r="C93" s="437" t="s">
        <v>28</v>
      </c>
      <c r="D93" s="438"/>
      <c r="E93" s="439"/>
      <c r="F93" s="101"/>
      <c r="G93" s="94">
        <f>G94+G97</f>
        <v>67989485</v>
      </c>
      <c r="H93" s="94">
        <f>H94+H97</f>
        <v>68789485</v>
      </c>
      <c r="I93" s="94">
        <f>I94+I97</f>
        <v>39893075</v>
      </c>
      <c r="J93" s="271">
        <f t="shared" si="6"/>
        <v>0.579929839567777</v>
      </c>
    </row>
    <row r="94" spans="1:10" s="53" customFormat="1" ht="15.75" customHeight="1">
      <c r="A94" s="275"/>
      <c r="B94" s="93" t="s">
        <v>183</v>
      </c>
      <c r="C94" s="102"/>
      <c r="D94" s="437" t="s">
        <v>184</v>
      </c>
      <c r="E94" s="439"/>
      <c r="F94" s="101"/>
      <c r="G94" s="94">
        <f>SUM(G95:G96)</f>
        <v>21909504</v>
      </c>
      <c r="H94" s="94">
        <f>SUM(H95:H96)</f>
        <v>22709504</v>
      </c>
      <c r="I94" s="94">
        <f>SUM(I95:I96)</f>
        <v>1771547</v>
      </c>
      <c r="J94" s="271">
        <f t="shared" si="6"/>
        <v>0.07800905735325615</v>
      </c>
    </row>
    <row r="95" spans="1:10" s="53" customFormat="1" ht="15.75" customHeight="1">
      <c r="A95" s="275"/>
      <c r="B95" s="96"/>
      <c r="C95" s="96" t="s">
        <v>187</v>
      </c>
      <c r="D95" s="435" t="s">
        <v>219</v>
      </c>
      <c r="E95" s="436"/>
      <c r="F95" s="101"/>
      <c r="G95" s="97">
        <v>20909504</v>
      </c>
      <c r="H95" s="97">
        <v>20909504</v>
      </c>
      <c r="I95" s="97">
        <v>0</v>
      </c>
      <c r="J95" s="273">
        <f t="shared" si="6"/>
        <v>0</v>
      </c>
    </row>
    <row r="96" spans="1:10" s="53" customFormat="1" ht="15.75" customHeight="1">
      <c r="A96" s="272"/>
      <c r="B96" s="96"/>
      <c r="C96" s="96" t="s">
        <v>220</v>
      </c>
      <c r="D96" s="435" t="s">
        <v>221</v>
      </c>
      <c r="E96" s="436"/>
      <c r="F96" s="101"/>
      <c r="G96" s="97">
        <v>1000000</v>
      </c>
      <c r="H96" s="97">
        <v>1800000</v>
      </c>
      <c r="I96" s="97">
        <v>1771547</v>
      </c>
      <c r="J96" s="273">
        <f t="shared" si="6"/>
        <v>0.9841927777777778</v>
      </c>
    </row>
    <row r="97" spans="1:10" s="53" customFormat="1" ht="15.75" customHeight="1">
      <c r="A97" s="275"/>
      <c r="B97" s="93" t="s">
        <v>197</v>
      </c>
      <c r="C97" s="102"/>
      <c r="D97" s="437" t="s">
        <v>198</v>
      </c>
      <c r="E97" s="439"/>
      <c r="F97" s="101"/>
      <c r="G97" s="94">
        <f>SUM(G98:G99)</f>
        <v>46079981</v>
      </c>
      <c r="H97" s="94">
        <f>SUM(H98:H99)</f>
        <v>46079981</v>
      </c>
      <c r="I97" s="94">
        <f>SUM(I98:I99)</f>
        <v>38121528</v>
      </c>
      <c r="J97" s="271">
        <f t="shared" si="6"/>
        <v>0.8272904452803486</v>
      </c>
    </row>
    <row r="98" spans="1:10" s="53" customFormat="1" ht="15.75" customHeight="1">
      <c r="A98" s="272"/>
      <c r="B98" s="96"/>
      <c r="C98" s="96" t="s">
        <v>199</v>
      </c>
      <c r="D98" s="435" t="s">
        <v>200</v>
      </c>
      <c r="E98" s="436"/>
      <c r="F98" s="101"/>
      <c r="G98" s="97">
        <v>5579981</v>
      </c>
      <c r="H98" s="97">
        <v>5579981</v>
      </c>
      <c r="I98" s="97">
        <v>474682</v>
      </c>
      <c r="J98" s="273">
        <f t="shared" si="6"/>
        <v>0.08506874844197498</v>
      </c>
    </row>
    <row r="99" spans="1:10" s="53" customFormat="1" ht="15.75" customHeight="1">
      <c r="A99" s="272"/>
      <c r="B99" s="96"/>
      <c r="C99" s="96" t="s">
        <v>222</v>
      </c>
      <c r="D99" s="435" t="s">
        <v>223</v>
      </c>
      <c r="E99" s="436"/>
      <c r="F99" s="101"/>
      <c r="G99" s="97">
        <v>40500000</v>
      </c>
      <c r="H99" s="97">
        <v>40500000</v>
      </c>
      <c r="I99" s="97">
        <v>37646846</v>
      </c>
      <c r="J99" s="273">
        <f t="shared" si="6"/>
        <v>0.9295517530864198</v>
      </c>
    </row>
    <row r="100" spans="1:10" s="53" customFormat="1" ht="15.75" customHeight="1">
      <c r="A100" s="272"/>
      <c r="B100" s="87"/>
      <c r="C100" s="87"/>
      <c r="D100" s="87"/>
      <c r="E100" s="87"/>
      <c r="F100" s="96"/>
      <c r="G100" s="104"/>
      <c r="H100" s="104"/>
      <c r="I100" s="104"/>
      <c r="J100" s="284"/>
    </row>
    <row r="101" spans="1:10" s="53" customFormat="1" ht="15.75" customHeight="1">
      <c r="A101" s="384" t="s">
        <v>227</v>
      </c>
      <c r="B101" s="385"/>
      <c r="C101" s="385"/>
      <c r="D101" s="385"/>
      <c r="E101" s="386"/>
      <c r="F101" s="107"/>
      <c r="G101" s="109">
        <f aca="true" t="shared" si="7" ref="G101:I102">SUM(G102)</f>
        <v>500000</v>
      </c>
      <c r="H101" s="109">
        <f t="shared" si="7"/>
        <v>500000</v>
      </c>
      <c r="I101" s="109">
        <f t="shared" si="7"/>
        <v>500000</v>
      </c>
      <c r="J101" s="269">
        <f>I101/H101</f>
        <v>1</v>
      </c>
    </row>
    <row r="102" spans="1:10" s="53" customFormat="1" ht="15.75" customHeight="1">
      <c r="A102" s="270" t="s">
        <v>31</v>
      </c>
      <c r="B102" s="93"/>
      <c r="C102" s="437" t="s">
        <v>32</v>
      </c>
      <c r="D102" s="438"/>
      <c r="E102" s="439"/>
      <c r="F102" s="96"/>
      <c r="G102" s="110">
        <f t="shared" si="7"/>
        <v>500000</v>
      </c>
      <c r="H102" s="110">
        <f t="shared" si="7"/>
        <v>500000</v>
      </c>
      <c r="I102" s="110">
        <f t="shared" si="7"/>
        <v>500000</v>
      </c>
      <c r="J102" s="273">
        <f>I102/H102</f>
        <v>1</v>
      </c>
    </row>
    <row r="103" spans="1:10" s="53" customFormat="1" ht="15.75" customHeight="1">
      <c r="A103" s="272"/>
      <c r="B103" s="96"/>
      <c r="C103" s="96" t="s">
        <v>202</v>
      </c>
      <c r="D103" s="435" t="s">
        <v>203</v>
      </c>
      <c r="E103" s="436"/>
      <c r="F103" s="96"/>
      <c r="G103" s="111">
        <f>G104</f>
        <v>500000</v>
      </c>
      <c r="H103" s="111">
        <f>H104</f>
        <v>500000</v>
      </c>
      <c r="I103" s="111">
        <f>I104</f>
        <v>500000</v>
      </c>
      <c r="J103" s="273">
        <f>I103/H103</f>
        <v>1</v>
      </c>
    </row>
    <row r="104" spans="1:10" s="53" customFormat="1" ht="15.75" customHeight="1">
      <c r="A104" s="272"/>
      <c r="B104" s="96"/>
      <c r="C104" s="96"/>
      <c r="D104" s="96"/>
      <c r="E104" s="96" t="s">
        <v>228</v>
      </c>
      <c r="F104" s="96"/>
      <c r="G104" s="104">
        <v>500000</v>
      </c>
      <c r="H104" s="104">
        <v>500000</v>
      </c>
      <c r="I104" s="104">
        <v>500000</v>
      </c>
      <c r="J104" s="273">
        <f>I104/H104</f>
        <v>1</v>
      </c>
    </row>
    <row r="105" spans="1:10" s="53" customFormat="1" ht="15.75" customHeight="1">
      <c r="A105" s="272"/>
      <c r="B105" s="96"/>
      <c r="C105" s="96"/>
      <c r="D105" s="96"/>
      <c r="E105" s="96"/>
      <c r="F105" s="96"/>
      <c r="G105" s="104"/>
      <c r="H105" s="104"/>
      <c r="I105" s="104"/>
      <c r="J105" s="284"/>
    </row>
    <row r="106" spans="1:10" s="53" customFormat="1" ht="15.75" customHeight="1">
      <c r="A106" s="384" t="s">
        <v>229</v>
      </c>
      <c r="B106" s="385"/>
      <c r="C106" s="385"/>
      <c r="D106" s="385"/>
      <c r="E106" s="386"/>
      <c r="F106" s="107"/>
      <c r="G106" s="109">
        <f>SUM(G108)</f>
        <v>300000</v>
      </c>
      <c r="H106" s="109">
        <f>SUM(H108)</f>
        <v>300000</v>
      </c>
      <c r="I106" s="109">
        <f>SUM(I108)</f>
        <v>0</v>
      </c>
      <c r="J106" s="286">
        <f>SUM(J108)</f>
        <v>0</v>
      </c>
    </row>
    <row r="107" spans="1:10" s="142" customFormat="1" ht="15.75" customHeight="1">
      <c r="A107" s="270" t="s">
        <v>31</v>
      </c>
      <c r="B107" s="93"/>
      <c r="C107" s="437" t="s">
        <v>32</v>
      </c>
      <c r="D107" s="438"/>
      <c r="E107" s="439"/>
      <c r="F107" s="96"/>
      <c r="G107" s="110">
        <f>SUM(G108)</f>
        <v>300000</v>
      </c>
      <c r="H107" s="110">
        <f>SUM(H108)</f>
        <v>300000</v>
      </c>
      <c r="I107" s="110">
        <f>SUM(I108)</f>
        <v>0</v>
      </c>
      <c r="J107" s="273">
        <f>I107/H107</f>
        <v>0</v>
      </c>
    </row>
    <row r="108" spans="1:10" s="53" customFormat="1" ht="15.75" customHeight="1">
      <c r="A108" s="272"/>
      <c r="B108" s="96"/>
      <c r="C108" s="96" t="s">
        <v>202</v>
      </c>
      <c r="D108" s="435" t="s">
        <v>203</v>
      </c>
      <c r="E108" s="436"/>
      <c r="F108" s="96"/>
      <c r="G108" s="104">
        <v>300000</v>
      </c>
      <c r="H108" s="104">
        <v>300000</v>
      </c>
      <c r="I108" s="104">
        <v>0</v>
      </c>
      <c r="J108" s="273">
        <f>I108/H108</f>
        <v>0</v>
      </c>
    </row>
    <row r="109" spans="1:10" s="53" customFormat="1" ht="15.75" customHeight="1">
      <c r="A109" s="272"/>
      <c r="B109" s="96"/>
      <c r="C109" s="96"/>
      <c r="D109" s="96"/>
      <c r="E109" s="96"/>
      <c r="F109" s="96"/>
      <c r="G109" s="104"/>
      <c r="H109" s="104"/>
      <c r="I109" s="104"/>
      <c r="J109" s="284"/>
    </row>
    <row r="110" spans="1:10" s="53" customFormat="1" ht="15.75" customHeight="1">
      <c r="A110" s="384" t="s">
        <v>233</v>
      </c>
      <c r="B110" s="385"/>
      <c r="C110" s="385"/>
      <c r="D110" s="385"/>
      <c r="E110" s="386"/>
      <c r="F110" s="105"/>
      <c r="G110" s="91">
        <f>G111+G122</f>
        <v>1905000</v>
      </c>
      <c r="H110" s="91">
        <f>H111+H122+H119</f>
        <v>10080091</v>
      </c>
      <c r="I110" s="91">
        <f>I111+I122+I119</f>
        <v>9363110</v>
      </c>
      <c r="J110" s="269">
        <f>I110/H110</f>
        <v>0.9288715746713001</v>
      </c>
    </row>
    <row r="111" spans="1:10" s="53" customFormat="1" ht="15.75" customHeight="1">
      <c r="A111" s="270" t="s">
        <v>27</v>
      </c>
      <c r="B111" s="93"/>
      <c r="C111" s="437" t="s">
        <v>28</v>
      </c>
      <c r="D111" s="438"/>
      <c r="E111" s="439"/>
      <c r="F111" s="96"/>
      <c r="G111" s="94">
        <f>G112+G114+G117</f>
        <v>1905000</v>
      </c>
      <c r="H111" s="94">
        <f>H112+H114+H117</f>
        <v>1905000</v>
      </c>
      <c r="I111" s="94">
        <f>I112+I114+I117</f>
        <v>1393378</v>
      </c>
      <c r="J111" s="271">
        <f aca="true" t="shared" si="8" ref="J111:J124">I111/H111</f>
        <v>0.7314320209973754</v>
      </c>
    </row>
    <row r="112" spans="1:10" s="53" customFormat="1" ht="15.75" customHeight="1">
      <c r="A112" s="275"/>
      <c r="B112" s="93" t="s">
        <v>169</v>
      </c>
      <c r="C112" s="102"/>
      <c r="D112" s="437" t="s">
        <v>170</v>
      </c>
      <c r="E112" s="439"/>
      <c r="F112" s="93"/>
      <c r="G112" s="94">
        <f>G113</f>
        <v>500000</v>
      </c>
      <c r="H112" s="94">
        <f>H113</f>
        <v>500000</v>
      </c>
      <c r="I112" s="94">
        <f>I113</f>
        <v>141215</v>
      </c>
      <c r="J112" s="271">
        <f t="shared" si="8"/>
        <v>0.28243</v>
      </c>
    </row>
    <row r="113" spans="1:10" s="53" customFormat="1" ht="15.75" customHeight="1">
      <c r="A113" s="272"/>
      <c r="B113" s="96"/>
      <c r="C113" s="96" t="s">
        <v>174</v>
      </c>
      <c r="D113" s="435" t="s">
        <v>175</v>
      </c>
      <c r="E113" s="436"/>
      <c r="F113" s="96"/>
      <c r="G113" s="97">
        <v>500000</v>
      </c>
      <c r="H113" s="97">
        <v>500000</v>
      </c>
      <c r="I113" s="97">
        <v>141215</v>
      </c>
      <c r="J113" s="273">
        <f>I113/H113</f>
        <v>0.28243</v>
      </c>
    </row>
    <row r="114" spans="1:10" s="53" customFormat="1" ht="15.75" customHeight="1">
      <c r="A114" s="275"/>
      <c r="B114" s="93" t="s">
        <v>183</v>
      </c>
      <c r="C114" s="102"/>
      <c r="D114" s="437" t="s">
        <v>184</v>
      </c>
      <c r="E114" s="439"/>
      <c r="F114" s="93"/>
      <c r="G114" s="94">
        <f>G115</f>
        <v>1000000</v>
      </c>
      <c r="H114" s="94">
        <f>H115+H116</f>
        <v>1027600</v>
      </c>
      <c r="I114" s="94">
        <f>I115+I116</f>
        <v>961800</v>
      </c>
      <c r="J114" s="271">
        <f t="shared" si="8"/>
        <v>0.9359673024523161</v>
      </c>
    </row>
    <row r="115" spans="1:10" s="53" customFormat="1" ht="15.75" customHeight="1">
      <c r="A115" s="272"/>
      <c r="B115" s="96"/>
      <c r="C115" s="96" t="s">
        <v>189</v>
      </c>
      <c r="D115" s="435" t="s">
        <v>190</v>
      </c>
      <c r="E115" s="436"/>
      <c r="F115" s="101"/>
      <c r="G115" s="97">
        <v>1000000</v>
      </c>
      <c r="H115" s="97">
        <v>1000000</v>
      </c>
      <c r="I115" s="97">
        <v>934200</v>
      </c>
      <c r="J115" s="273">
        <f t="shared" si="8"/>
        <v>0.9342</v>
      </c>
    </row>
    <row r="116" spans="1:10" s="53" customFormat="1" ht="15.75" customHeight="1">
      <c r="A116" s="272"/>
      <c r="B116" s="96"/>
      <c r="C116" s="96" t="s">
        <v>191</v>
      </c>
      <c r="D116" s="435" t="s">
        <v>192</v>
      </c>
      <c r="E116" s="436"/>
      <c r="F116" s="101"/>
      <c r="G116" s="97"/>
      <c r="H116" s="97">
        <v>27600</v>
      </c>
      <c r="I116" s="97">
        <v>27600</v>
      </c>
      <c r="J116" s="273">
        <f t="shared" si="8"/>
        <v>1</v>
      </c>
    </row>
    <row r="117" spans="1:10" s="53" customFormat="1" ht="15.75" customHeight="1">
      <c r="A117" s="275"/>
      <c r="B117" s="93" t="s">
        <v>197</v>
      </c>
      <c r="C117" s="102"/>
      <c r="D117" s="437" t="s">
        <v>198</v>
      </c>
      <c r="E117" s="439"/>
      <c r="F117" s="103"/>
      <c r="G117" s="94">
        <f>G118</f>
        <v>405000</v>
      </c>
      <c r="H117" s="94">
        <f>H118</f>
        <v>377400</v>
      </c>
      <c r="I117" s="94">
        <f>I118</f>
        <v>290363</v>
      </c>
      <c r="J117" s="271">
        <f t="shared" si="8"/>
        <v>0.7693773184949656</v>
      </c>
    </row>
    <row r="118" spans="1:10" s="53" customFormat="1" ht="15.75" customHeight="1">
      <c r="A118" s="272"/>
      <c r="B118" s="96"/>
      <c r="C118" s="96" t="s">
        <v>199</v>
      </c>
      <c r="D118" s="435" t="s">
        <v>200</v>
      </c>
      <c r="E118" s="436"/>
      <c r="F118" s="101"/>
      <c r="G118" s="97">
        <v>405000</v>
      </c>
      <c r="H118" s="97">
        <v>377400</v>
      </c>
      <c r="I118" s="97">
        <v>290363</v>
      </c>
      <c r="J118" s="273">
        <f t="shared" si="8"/>
        <v>0.7693773184949656</v>
      </c>
    </row>
    <row r="119" spans="1:10" s="53" customFormat="1" ht="15.75" customHeight="1">
      <c r="A119" s="276" t="s">
        <v>34</v>
      </c>
      <c r="B119" s="96"/>
      <c r="C119" s="93" t="s">
        <v>35</v>
      </c>
      <c r="D119" s="96"/>
      <c r="E119" s="96"/>
      <c r="F119" s="101"/>
      <c r="G119" s="94">
        <f>SUM(G120:G121)</f>
        <v>0</v>
      </c>
      <c r="H119" s="94">
        <f>SUM(H120:H121)</f>
        <v>192887</v>
      </c>
      <c r="I119" s="94">
        <f>SUM(I120:I121)</f>
        <v>192887</v>
      </c>
      <c r="J119" s="271">
        <f t="shared" si="8"/>
        <v>1</v>
      </c>
    </row>
    <row r="120" spans="1:10" s="53" customFormat="1" ht="15.75" customHeight="1">
      <c r="A120" s="272"/>
      <c r="B120" s="96" t="s">
        <v>318</v>
      </c>
      <c r="C120" s="96"/>
      <c r="D120" s="435" t="s">
        <v>317</v>
      </c>
      <c r="E120" s="436"/>
      <c r="F120" s="101"/>
      <c r="G120" s="97">
        <v>0</v>
      </c>
      <c r="H120" s="97">
        <v>151880</v>
      </c>
      <c r="I120" s="97">
        <v>151880</v>
      </c>
      <c r="J120" s="273">
        <f t="shared" si="8"/>
        <v>1</v>
      </c>
    </row>
    <row r="121" spans="1:10" s="53" customFormat="1" ht="15.75" customHeight="1">
      <c r="A121" s="272"/>
      <c r="B121" s="96" t="s">
        <v>225</v>
      </c>
      <c r="C121" s="96"/>
      <c r="D121" s="435" t="s">
        <v>226</v>
      </c>
      <c r="E121" s="436"/>
      <c r="F121" s="101"/>
      <c r="G121" s="97">
        <v>0</v>
      </c>
      <c r="H121" s="97">
        <v>41007</v>
      </c>
      <c r="I121" s="97">
        <v>41007</v>
      </c>
      <c r="J121" s="273">
        <f t="shared" si="8"/>
        <v>1</v>
      </c>
    </row>
    <row r="122" spans="1:10" s="53" customFormat="1" ht="15.75" customHeight="1">
      <c r="A122" s="287" t="s">
        <v>36</v>
      </c>
      <c r="B122" s="113"/>
      <c r="C122" s="113" t="s">
        <v>37</v>
      </c>
      <c r="D122" s="87"/>
      <c r="E122" s="96"/>
      <c r="F122" s="101"/>
      <c r="G122" s="94">
        <f>SUM(G123:G124)</f>
        <v>0</v>
      </c>
      <c r="H122" s="94">
        <f>SUM(H123:H124)</f>
        <v>7982204</v>
      </c>
      <c r="I122" s="94">
        <f>SUM(I123:I124)</f>
        <v>7776845</v>
      </c>
      <c r="J122" s="271">
        <f t="shared" si="8"/>
        <v>0.97427289505505</v>
      </c>
    </row>
    <row r="123" spans="1:10" s="53" customFormat="1" ht="15.75" customHeight="1">
      <c r="A123" s="283"/>
      <c r="B123" s="113" t="s">
        <v>234</v>
      </c>
      <c r="C123" s="87"/>
      <c r="D123" s="455" t="s">
        <v>388</v>
      </c>
      <c r="E123" s="456"/>
      <c r="F123" s="101"/>
      <c r="G123" s="97"/>
      <c r="H123" s="97">
        <v>6285200</v>
      </c>
      <c r="I123" s="97">
        <v>6123500</v>
      </c>
      <c r="J123" s="273">
        <f t="shared" si="8"/>
        <v>0.97427289505505</v>
      </c>
    </row>
    <row r="124" spans="1:10" s="53" customFormat="1" ht="15.75" customHeight="1">
      <c r="A124" s="283"/>
      <c r="B124" s="113" t="s">
        <v>235</v>
      </c>
      <c r="C124" s="87"/>
      <c r="D124" s="455" t="s">
        <v>236</v>
      </c>
      <c r="E124" s="456"/>
      <c r="F124" s="101"/>
      <c r="G124" s="97"/>
      <c r="H124" s="97">
        <v>1697004</v>
      </c>
      <c r="I124" s="97">
        <v>1653345</v>
      </c>
      <c r="J124" s="273">
        <f t="shared" si="8"/>
        <v>0.97427289505505</v>
      </c>
    </row>
    <row r="125" spans="1:10" s="53" customFormat="1" ht="15.75" customHeight="1">
      <c r="A125" s="283"/>
      <c r="B125" s="87"/>
      <c r="C125" s="87"/>
      <c r="D125" s="87"/>
      <c r="E125" s="87"/>
      <c r="F125" s="101"/>
      <c r="G125" s="97"/>
      <c r="H125" s="97"/>
      <c r="I125" s="97"/>
      <c r="J125" s="274"/>
    </row>
    <row r="126" spans="1:10" s="53" customFormat="1" ht="15.75" customHeight="1">
      <c r="A126" s="384" t="s">
        <v>315</v>
      </c>
      <c r="B126" s="385"/>
      <c r="C126" s="385"/>
      <c r="D126" s="385"/>
      <c r="E126" s="386"/>
      <c r="F126" s="105"/>
      <c r="G126" s="91">
        <f>G127</f>
        <v>900000</v>
      </c>
      <c r="H126" s="91">
        <f>H127</f>
        <v>1703000</v>
      </c>
      <c r="I126" s="91">
        <f>I127</f>
        <v>1634172</v>
      </c>
      <c r="J126" s="269">
        <f aca="true" t="shared" si="9" ref="J126:J135">I126/H126</f>
        <v>0.9595842630651791</v>
      </c>
    </row>
    <row r="127" spans="1:10" s="142" customFormat="1" ht="15.75" customHeight="1">
      <c r="A127" s="270" t="s">
        <v>27</v>
      </c>
      <c r="B127" s="93"/>
      <c r="C127" s="437" t="s">
        <v>28</v>
      </c>
      <c r="D127" s="438"/>
      <c r="E127" s="439"/>
      <c r="F127" s="96"/>
      <c r="G127" s="94">
        <f>G128+G130+G134</f>
        <v>900000</v>
      </c>
      <c r="H127" s="94">
        <f>H128+H130+H134</f>
        <v>1703000</v>
      </c>
      <c r="I127" s="94">
        <f>I128+I130+I134</f>
        <v>1634172</v>
      </c>
      <c r="J127" s="271">
        <f t="shared" si="9"/>
        <v>0.9595842630651791</v>
      </c>
    </row>
    <row r="128" spans="1:10" s="142" customFormat="1" ht="15.75" customHeight="1">
      <c r="A128" s="275"/>
      <c r="B128" s="93" t="s">
        <v>169</v>
      </c>
      <c r="C128" s="102"/>
      <c r="D128" s="437" t="s">
        <v>170</v>
      </c>
      <c r="E128" s="439"/>
      <c r="F128" s="93"/>
      <c r="G128" s="94">
        <f>G129</f>
        <v>100000</v>
      </c>
      <c r="H128" s="94">
        <f>H129</f>
        <v>100000</v>
      </c>
      <c r="I128" s="94">
        <f>I129</f>
        <v>33816</v>
      </c>
      <c r="J128" s="271">
        <f t="shared" si="9"/>
        <v>0.33816</v>
      </c>
    </row>
    <row r="129" spans="1:10" s="142" customFormat="1" ht="15.75" customHeight="1">
      <c r="A129" s="272"/>
      <c r="B129" s="96"/>
      <c r="C129" s="96" t="s">
        <v>174</v>
      </c>
      <c r="D129" s="435" t="s">
        <v>175</v>
      </c>
      <c r="E129" s="436"/>
      <c r="F129" s="96"/>
      <c r="G129" s="97">
        <v>100000</v>
      </c>
      <c r="H129" s="97">
        <v>100000</v>
      </c>
      <c r="I129" s="97">
        <v>33816</v>
      </c>
      <c r="J129" s="273">
        <f t="shared" si="9"/>
        <v>0.33816</v>
      </c>
    </row>
    <row r="130" spans="1:10" s="53" customFormat="1" ht="15.75" customHeight="1">
      <c r="A130" s="275"/>
      <c r="B130" s="93" t="s">
        <v>183</v>
      </c>
      <c r="C130" s="102"/>
      <c r="D130" s="437" t="s">
        <v>184</v>
      </c>
      <c r="E130" s="439"/>
      <c r="F130" s="93"/>
      <c r="G130" s="94">
        <f>G131+G132+G133</f>
        <v>700000</v>
      </c>
      <c r="H130" s="94">
        <f>H131+H132+H133</f>
        <v>1373000</v>
      </c>
      <c r="I130" s="94">
        <f>I131+I132+I133</f>
        <v>1371206</v>
      </c>
      <c r="J130" s="271">
        <f t="shared" si="9"/>
        <v>0.998693372177713</v>
      </c>
    </row>
    <row r="131" spans="1:10" s="53" customFormat="1" ht="15.75" customHeight="1">
      <c r="A131" s="272"/>
      <c r="B131" s="96"/>
      <c r="C131" s="96" t="s">
        <v>185</v>
      </c>
      <c r="D131" s="435" t="s">
        <v>186</v>
      </c>
      <c r="E131" s="436"/>
      <c r="F131" s="101"/>
      <c r="G131" s="97">
        <v>200000</v>
      </c>
      <c r="H131" s="97">
        <v>309000</v>
      </c>
      <c r="I131" s="97">
        <v>308355</v>
      </c>
      <c r="J131" s="273">
        <f t="shared" si="9"/>
        <v>0.9979126213592233</v>
      </c>
    </row>
    <row r="132" spans="1:10" s="53" customFormat="1" ht="15.75" customHeight="1">
      <c r="A132" s="283"/>
      <c r="B132" s="87"/>
      <c r="C132" s="96" t="s">
        <v>189</v>
      </c>
      <c r="D132" s="435" t="s">
        <v>190</v>
      </c>
      <c r="E132" s="436"/>
      <c r="F132" s="101"/>
      <c r="G132" s="97">
        <v>200000</v>
      </c>
      <c r="H132" s="97">
        <v>535000</v>
      </c>
      <c r="I132" s="97">
        <v>534141</v>
      </c>
      <c r="J132" s="273">
        <f t="shared" si="9"/>
        <v>0.9983943925233645</v>
      </c>
    </row>
    <row r="133" spans="1:10" s="53" customFormat="1" ht="15.75" customHeight="1">
      <c r="A133" s="283"/>
      <c r="B133" s="87"/>
      <c r="C133" s="96" t="s">
        <v>191</v>
      </c>
      <c r="D133" s="435" t="s">
        <v>192</v>
      </c>
      <c r="E133" s="436"/>
      <c r="F133" s="101"/>
      <c r="G133" s="97">
        <v>300000</v>
      </c>
      <c r="H133" s="97">
        <v>529000</v>
      </c>
      <c r="I133" s="97">
        <v>528710</v>
      </c>
      <c r="J133" s="273">
        <f t="shared" si="9"/>
        <v>0.9994517958412098</v>
      </c>
    </row>
    <row r="134" spans="1:10" s="53" customFormat="1" ht="15.75" customHeight="1">
      <c r="A134" s="283"/>
      <c r="B134" s="93" t="s">
        <v>197</v>
      </c>
      <c r="C134" s="102"/>
      <c r="D134" s="437" t="s">
        <v>198</v>
      </c>
      <c r="E134" s="439"/>
      <c r="F134" s="101"/>
      <c r="G134" s="97">
        <f>SUM(G135)</f>
        <v>100000</v>
      </c>
      <c r="H134" s="97">
        <f>SUM(H135)</f>
        <v>230000</v>
      </c>
      <c r="I134" s="97">
        <f>SUM(I135)</f>
        <v>229150</v>
      </c>
      <c r="J134" s="273">
        <f t="shared" si="9"/>
        <v>0.996304347826087</v>
      </c>
    </row>
    <row r="135" spans="1:10" s="53" customFormat="1" ht="15.75" customHeight="1">
      <c r="A135" s="272"/>
      <c r="B135" s="96"/>
      <c r="C135" s="96" t="s">
        <v>199</v>
      </c>
      <c r="D135" s="435" t="s">
        <v>200</v>
      </c>
      <c r="E135" s="436"/>
      <c r="F135" s="101"/>
      <c r="G135" s="97">
        <v>100000</v>
      </c>
      <c r="H135" s="97">
        <v>230000</v>
      </c>
      <c r="I135" s="97">
        <v>229150</v>
      </c>
      <c r="J135" s="273">
        <f t="shared" si="9"/>
        <v>0.996304347826087</v>
      </c>
    </row>
    <row r="136" spans="1:10" s="53" customFormat="1" ht="15.75" customHeight="1">
      <c r="A136" s="272"/>
      <c r="B136" s="96"/>
      <c r="C136" s="96"/>
      <c r="D136" s="96"/>
      <c r="E136" s="96"/>
      <c r="F136" s="101"/>
      <c r="G136" s="97"/>
      <c r="H136" s="97"/>
      <c r="I136" s="97"/>
      <c r="J136" s="274"/>
    </row>
    <row r="137" spans="1:10" s="53" customFormat="1" ht="15.75" customHeight="1">
      <c r="A137" s="384" t="s">
        <v>104</v>
      </c>
      <c r="B137" s="385"/>
      <c r="C137" s="385"/>
      <c r="D137" s="385"/>
      <c r="E137" s="386"/>
      <c r="F137" s="114">
        <v>1</v>
      </c>
      <c r="G137" s="91">
        <f>G138+G144+G147</f>
        <v>6695736.875</v>
      </c>
      <c r="H137" s="91">
        <f>H138+H144+H147</f>
        <v>6621737</v>
      </c>
      <c r="I137" s="91">
        <f>I138+I144+I147</f>
        <v>5045690</v>
      </c>
      <c r="J137" s="269">
        <f>I137/H137</f>
        <v>0.7619888859977374</v>
      </c>
    </row>
    <row r="138" spans="1:10" s="53" customFormat="1" ht="15.75" customHeight="1">
      <c r="A138" s="270" t="s">
        <v>23</v>
      </c>
      <c r="B138" s="93"/>
      <c r="C138" s="437" t="s">
        <v>150</v>
      </c>
      <c r="D138" s="438"/>
      <c r="E138" s="439"/>
      <c r="F138" s="101"/>
      <c r="G138" s="94">
        <f>G139</f>
        <v>4013625</v>
      </c>
      <c r="H138" s="94">
        <f>H139</f>
        <v>3939625</v>
      </c>
      <c r="I138" s="94">
        <f>I139</f>
        <v>3439986</v>
      </c>
      <c r="J138" s="271">
        <f aca="true" t="shared" si="10" ref="J138:J163">I138/H138</f>
        <v>0.8731760002538312</v>
      </c>
    </row>
    <row r="139" spans="1:10" s="53" customFormat="1" ht="15.75" customHeight="1">
      <c r="A139" s="272"/>
      <c r="B139" s="93" t="s">
        <v>151</v>
      </c>
      <c r="C139" s="96"/>
      <c r="D139" s="435" t="s">
        <v>152</v>
      </c>
      <c r="E139" s="436"/>
      <c r="F139" s="101"/>
      <c r="G139" s="97">
        <f>SUM(G140:G143)</f>
        <v>4013625</v>
      </c>
      <c r="H139" s="97">
        <f>SUM(H140:H143)</f>
        <v>3939625</v>
      </c>
      <c r="I139" s="97">
        <f>SUM(I140:I143)</f>
        <v>3439986</v>
      </c>
      <c r="J139" s="273">
        <f t="shared" si="10"/>
        <v>0.8731760002538312</v>
      </c>
    </row>
    <row r="140" spans="1:10" s="53" customFormat="1" ht="15.75" customHeight="1">
      <c r="A140" s="283"/>
      <c r="B140" s="96"/>
      <c r="C140" s="96" t="s">
        <v>153</v>
      </c>
      <c r="D140" s="435" t="s">
        <v>154</v>
      </c>
      <c r="E140" s="436"/>
      <c r="F140" s="101"/>
      <c r="G140" s="97">
        <f>3431160*1.04</f>
        <v>3568406.4</v>
      </c>
      <c r="H140" s="97">
        <v>3568406</v>
      </c>
      <c r="I140" s="97">
        <v>3069115</v>
      </c>
      <c r="J140" s="273">
        <f t="shared" si="10"/>
        <v>0.8600801029927648</v>
      </c>
    </row>
    <row r="141" spans="1:10" s="53" customFormat="1" ht="15.75" customHeight="1">
      <c r="A141" s="283"/>
      <c r="B141" s="96"/>
      <c r="C141" s="96" t="s">
        <v>311</v>
      </c>
      <c r="D141" s="435" t="s">
        <v>321</v>
      </c>
      <c r="E141" s="436"/>
      <c r="F141" s="101"/>
      <c r="G141" s="97">
        <f>116640*1.04</f>
        <v>121305.6</v>
      </c>
      <c r="H141" s="97">
        <v>121306</v>
      </c>
      <c r="I141" s="97">
        <v>121305</v>
      </c>
      <c r="J141" s="273">
        <f t="shared" si="10"/>
        <v>0.9999917563846801</v>
      </c>
    </row>
    <row r="142" spans="1:10" s="53" customFormat="1" ht="15.75" customHeight="1">
      <c r="A142" s="283"/>
      <c r="B142" s="96"/>
      <c r="C142" s="96" t="s">
        <v>230</v>
      </c>
      <c r="D142" s="435" t="s">
        <v>330</v>
      </c>
      <c r="E142" s="436"/>
      <c r="F142" s="101"/>
      <c r="G142" s="97">
        <v>150000</v>
      </c>
      <c r="H142" s="97">
        <v>76000</v>
      </c>
      <c r="I142" s="97">
        <v>75653</v>
      </c>
      <c r="J142" s="273">
        <f t="shared" si="10"/>
        <v>0.9954342105263158</v>
      </c>
    </row>
    <row r="143" spans="1:10" s="53" customFormat="1" ht="15.75" customHeight="1">
      <c r="A143" s="272"/>
      <c r="B143" s="96"/>
      <c r="C143" s="96" t="s">
        <v>155</v>
      </c>
      <c r="D143" s="435" t="s">
        <v>156</v>
      </c>
      <c r="E143" s="436"/>
      <c r="F143" s="101"/>
      <c r="G143" s="97">
        <v>173913</v>
      </c>
      <c r="H143" s="97">
        <v>173913</v>
      </c>
      <c r="I143" s="97">
        <v>173913</v>
      </c>
      <c r="J143" s="273">
        <f t="shared" si="10"/>
        <v>1</v>
      </c>
    </row>
    <row r="144" spans="1:10" s="53" customFormat="1" ht="15.75" customHeight="1">
      <c r="A144" s="270" t="s">
        <v>25</v>
      </c>
      <c r="B144" s="93"/>
      <c r="C144" s="437" t="s">
        <v>166</v>
      </c>
      <c r="D144" s="438"/>
      <c r="E144" s="439"/>
      <c r="F144" s="101"/>
      <c r="G144" s="94">
        <f>SUM(G145:G146)</f>
        <v>622111.875</v>
      </c>
      <c r="H144" s="94">
        <f>SUM(H145:H146)</f>
        <v>622112</v>
      </c>
      <c r="I144" s="94">
        <f>SUM(I145:I146)</f>
        <v>494724</v>
      </c>
      <c r="J144" s="271">
        <f t="shared" si="10"/>
        <v>0.7952330127051077</v>
      </c>
    </row>
    <row r="145" spans="1:10" s="53" customFormat="1" ht="15.75" customHeight="1">
      <c r="A145" s="272"/>
      <c r="B145" s="96"/>
      <c r="C145" s="96"/>
      <c r="D145" s="450" t="s">
        <v>167</v>
      </c>
      <c r="E145" s="451"/>
      <c r="F145" s="101"/>
      <c r="G145" s="97">
        <f>G139*0.155</f>
        <v>622111.875</v>
      </c>
      <c r="H145" s="97">
        <v>622112</v>
      </c>
      <c r="I145" s="97">
        <v>468637</v>
      </c>
      <c r="J145" s="273">
        <f t="shared" si="10"/>
        <v>0.753300048865799</v>
      </c>
    </row>
    <row r="146" spans="1:10" s="53" customFormat="1" ht="15.75" customHeight="1">
      <c r="A146" s="272"/>
      <c r="B146" s="96"/>
      <c r="C146" s="96"/>
      <c r="D146" s="450" t="s">
        <v>168</v>
      </c>
      <c r="E146" s="451"/>
      <c r="F146" s="101"/>
      <c r="G146" s="97"/>
      <c r="H146" s="97"/>
      <c r="I146" s="97">
        <v>26087</v>
      </c>
      <c r="J146" s="273"/>
    </row>
    <row r="147" spans="1:10" s="53" customFormat="1" ht="15.75" customHeight="1">
      <c r="A147" s="270" t="s">
        <v>27</v>
      </c>
      <c r="B147" s="93"/>
      <c r="C147" s="437" t="s">
        <v>28</v>
      </c>
      <c r="D147" s="438"/>
      <c r="E147" s="439"/>
      <c r="F147" s="98"/>
      <c r="G147" s="94">
        <f>G148+G152+G155+G162+G159</f>
        <v>2060000</v>
      </c>
      <c r="H147" s="94">
        <f>H148+H152+H155+H162+H159</f>
        <v>2060000</v>
      </c>
      <c r="I147" s="94">
        <f>I148+I152+I155+I162+I159</f>
        <v>1110980</v>
      </c>
      <c r="J147" s="271">
        <f t="shared" si="10"/>
        <v>0.5393106796116505</v>
      </c>
    </row>
    <row r="148" spans="1:10" s="53" customFormat="1" ht="15.75" customHeight="1">
      <c r="A148" s="275"/>
      <c r="B148" s="93" t="s">
        <v>169</v>
      </c>
      <c r="C148" s="102"/>
      <c r="D148" s="437" t="s">
        <v>170</v>
      </c>
      <c r="E148" s="439"/>
      <c r="F148" s="98"/>
      <c r="G148" s="94">
        <f>G149+G150+G151</f>
        <v>750000</v>
      </c>
      <c r="H148" s="94">
        <f>H149+H150+H151</f>
        <v>750000</v>
      </c>
      <c r="I148" s="94">
        <f>I149+I150+I151</f>
        <v>583388</v>
      </c>
      <c r="J148" s="271">
        <f t="shared" si="10"/>
        <v>0.7778506666666667</v>
      </c>
    </row>
    <row r="149" spans="1:10" s="53" customFormat="1" ht="15.75" customHeight="1">
      <c r="A149" s="272"/>
      <c r="B149" s="96"/>
      <c r="C149" s="96" t="s">
        <v>171</v>
      </c>
      <c r="D149" s="435" t="s">
        <v>172</v>
      </c>
      <c r="E149" s="436"/>
      <c r="F149" s="98"/>
      <c r="G149" s="97">
        <v>50000</v>
      </c>
      <c r="H149" s="97">
        <v>50000</v>
      </c>
      <c r="I149" s="97">
        <v>4500</v>
      </c>
      <c r="J149" s="273">
        <f t="shared" si="10"/>
        <v>0.09</v>
      </c>
    </row>
    <row r="150" spans="1:10" s="53" customFormat="1" ht="15.75" customHeight="1">
      <c r="A150" s="272"/>
      <c r="B150" s="96"/>
      <c r="C150" s="96" t="s">
        <v>174</v>
      </c>
      <c r="D150" s="435" t="s">
        <v>175</v>
      </c>
      <c r="E150" s="436"/>
      <c r="F150" s="98"/>
      <c r="G150" s="97">
        <v>100000</v>
      </c>
      <c r="H150" s="97">
        <v>100000</v>
      </c>
      <c r="I150" s="97">
        <v>21857</v>
      </c>
      <c r="J150" s="273">
        <f t="shared" si="10"/>
        <v>0.21857</v>
      </c>
    </row>
    <row r="151" spans="1:10" s="53" customFormat="1" ht="15.75" customHeight="1">
      <c r="A151" s="270"/>
      <c r="B151" s="93"/>
      <c r="C151" s="96" t="s">
        <v>237</v>
      </c>
      <c r="D151" s="435" t="s">
        <v>238</v>
      </c>
      <c r="E151" s="436"/>
      <c r="F151" s="101"/>
      <c r="G151" s="104">
        <v>600000</v>
      </c>
      <c r="H151" s="104">
        <v>600000</v>
      </c>
      <c r="I151" s="104">
        <v>557031</v>
      </c>
      <c r="J151" s="273">
        <f t="shared" si="10"/>
        <v>0.928385</v>
      </c>
    </row>
    <row r="152" spans="1:10" s="60" customFormat="1" ht="15.75" customHeight="1">
      <c r="A152" s="275"/>
      <c r="B152" s="93" t="s">
        <v>177</v>
      </c>
      <c r="C152" s="102"/>
      <c r="D152" s="437" t="s">
        <v>178</v>
      </c>
      <c r="E152" s="439"/>
      <c r="F152" s="103"/>
      <c r="G152" s="94">
        <f>G153+G154</f>
        <v>180000</v>
      </c>
      <c r="H152" s="94">
        <f>H153+H154</f>
        <v>180000</v>
      </c>
      <c r="I152" s="94">
        <f>I153+I154</f>
        <v>82112</v>
      </c>
      <c r="J152" s="271">
        <f t="shared" si="10"/>
        <v>0.4561777777777778</v>
      </c>
    </row>
    <row r="153" spans="1:10" s="53" customFormat="1" ht="15.75" customHeight="1">
      <c r="A153" s="272"/>
      <c r="B153" s="96"/>
      <c r="C153" s="96" t="s">
        <v>179</v>
      </c>
      <c r="D153" s="435" t="s">
        <v>180</v>
      </c>
      <c r="E153" s="436"/>
      <c r="F153" s="101"/>
      <c r="G153" s="97">
        <v>90000</v>
      </c>
      <c r="H153" s="97">
        <v>90000</v>
      </c>
      <c r="I153" s="97">
        <v>72963</v>
      </c>
      <c r="J153" s="273">
        <f t="shared" si="10"/>
        <v>0.8107</v>
      </c>
    </row>
    <row r="154" spans="1:10" s="53" customFormat="1" ht="15.75" customHeight="1">
      <c r="A154" s="272"/>
      <c r="B154" s="96"/>
      <c r="C154" s="96" t="s">
        <v>181</v>
      </c>
      <c r="D154" s="435" t="s">
        <v>182</v>
      </c>
      <c r="E154" s="436"/>
      <c r="F154" s="101"/>
      <c r="G154" s="97">
        <v>90000</v>
      </c>
      <c r="H154" s="97">
        <v>90000</v>
      </c>
      <c r="I154" s="97">
        <v>9149</v>
      </c>
      <c r="J154" s="273">
        <f t="shared" si="10"/>
        <v>0.10165555555555555</v>
      </c>
    </row>
    <row r="155" spans="1:10" s="53" customFormat="1" ht="15.75" customHeight="1">
      <c r="A155" s="275"/>
      <c r="B155" s="93" t="s">
        <v>183</v>
      </c>
      <c r="C155" s="102"/>
      <c r="D155" s="437" t="s">
        <v>184</v>
      </c>
      <c r="E155" s="439"/>
      <c r="F155" s="101"/>
      <c r="G155" s="94">
        <f>G156+G157+G158</f>
        <v>480000</v>
      </c>
      <c r="H155" s="94">
        <f>H156+H157+H158</f>
        <v>480000</v>
      </c>
      <c r="I155" s="94">
        <f>I156+I157+I158</f>
        <v>223961</v>
      </c>
      <c r="J155" s="271">
        <f t="shared" si="10"/>
        <v>0.46658541666666664</v>
      </c>
    </row>
    <row r="156" spans="1:10" s="53" customFormat="1" ht="15.75" customHeight="1">
      <c r="A156" s="272"/>
      <c r="B156" s="96"/>
      <c r="C156" s="96" t="s">
        <v>185</v>
      </c>
      <c r="D156" s="435" t="s">
        <v>186</v>
      </c>
      <c r="E156" s="436"/>
      <c r="F156" s="101"/>
      <c r="G156" s="97">
        <v>200000</v>
      </c>
      <c r="H156" s="97">
        <v>200000</v>
      </c>
      <c r="I156" s="97">
        <v>120812</v>
      </c>
      <c r="J156" s="273">
        <f t="shared" si="10"/>
        <v>0.60406</v>
      </c>
    </row>
    <row r="157" spans="1:10" s="53" customFormat="1" ht="15.75" customHeight="1">
      <c r="A157" s="272"/>
      <c r="B157" s="96"/>
      <c r="C157" s="96" t="s">
        <v>189</v>
      </c>
      <c r="D157" s="435" t="s">
        <v>190</v>
      </c>
      <c r="E157" s="436"/>
      <c r="F157" s="101"/>
      <c r="G157" s="97">
        <v>30000</v>
      </c>
      <c r="H157" s="97">
        <v>30000</v>
      </c>
      <c r="I157" s="97">
        <v>18702</v>
      </c>
      <c r="J157" s="273">
        <f t="shared" si="10"/>
        <v>0.6234</v>
      </c>
    </row>
    <row r="158" spans="1:10" s="53" customFormat="1" ht="15.75" customHeight="1">
      <c r="A158" s="272"/>
      <c r="B158" s="96"/>
      <c r="C158" s="96" t="s">
        <v>191</v>
      </c>
      <c r="D158" s="435" t="s">
        <v>192</v>
      </c>
      <c r="E158" s="436"/>
      <c r="F158" s="101"/>
      <c r="G158" s="97">
        <v>250000</v>
      </c>
      <c r="H158" s="97">
        <v>250000</v>
      </c>
      <c r="I158" s="97">
        <v>84447</v>
      </c>
      <c r="J158" s="273">
        <f t="shared" si="10"/>
        <v>0.337788</v>
      </c>
    </row>
    <row r="159" spans="1:10" s="53" customFormat="1" ht="15.75" customHeight="1">
      <c r="A159" s="275"/>
      <c r="B159" s="93" t="s">
        <v>193</v>
      </c>
      <c r="C159" s="102"/>
      <c r="D159" s="437" t="s">
        <v>194</v>
      </c>
      <c r="E159" s="439"/>
      <c r="F159" s="101"/>
      <c r="G159" s="94">
        <f>G160+G161</f>
        <v>350000</v>
      </c>
      <c r="H159" s="94">
        <f>H160+H161</f>
        <v>350000</v>
      </c>
      <c r="I159" s="94">
        <f>I160+I161</f>
        <v>31496</v>
      </c>
      <c r="J159" s="271">
        <f t="shared" si="10"/>
        <v>0.08998857142857143</v>
      </c>
    </row>
    <row r="160" spans="1:10" s="53" customFormat="1" ht="15.75" customHeight="1">
      <c r="A160" s="272"/>
      <c r="B160" s="96"/>
      <c r="C160" s="96" t="s">
        <v>195</v>
      </c>
      <c r="D160" s="435" t="s">
        <v>196</v>
      </c>
      <c r="E160" s="436"/>
      <c r="F160" s="101"/>
      <c r="G160" s="97">
        <v>50000</v>
      </c>
      <c r="H160" s="97">
        <v>50000</v>
      </c>
      <c r="I160" s="97">
        <v>0</v>
      </c>
      <c r="J160" s="273">
        <f t="shared" si="10"/>
        <v>0</v>
      </c>
    </row>
    <row r="161" spans="1:10" s="53" customFormat="1" ht="15.75" customHeight="1">
      <c r="A161" s="272"/>
      <c r="B161" s="96"/>
      <c r="C161" s="96" t="s">
        <v>239</v>
      </c>
      <c r="D161" s="435" t="s">
        <v>240</v>
      </c>
      <c r="E161" s="436"/>
      <c r="F161" s="101"/>
      <c r="G161" s="97">
        <v>300000</v>
      </c>
      <c r="H161" s="97">
        <v>300000</v>
      </c>
      <c r="I161" s="97">
        <v>31496</v>
      </c>
      <c r="J161" s="273">
        <f t="shared" si="10"/>
        <v>0.10498666666666667</v>
      </c>
    </row>
    <row r="162" spans="1:10" s="53" customFormat="1" ht="15.75" customHeight="1">
      <c r="A162" s="275"/>
      <c r="B162" s="93" t="s">
        <v>197</v>
      </c>
      <c r="C162" s="102"/>
      <c r="D162" s="437" t="s">
        <v>198</v>
      </c>
      <c r="E162" s="439"/>
      <c r="F162" s="101"/>
      <c r="G162" s="94">
        <f>SUM(G163)</f>
        <v>300000</v>
      </c>
      <c r="H162" s="94">
        <f>SUM(H163)</f>
        <v>300000</v>
      </c>
      <c r="I162" s="94">
        <f>SUM(I163)</f>
        <v>190023</v>
      </c>
      <c r="J162" s="271">
        <f t="shared" si="10"/>
        <v>0.63341</v>
      </c>
    </row>
    <row r="163" spans="1:10" s="53" customFormat="1" ht="15.75" customHeight="1">
      <c r="A163" s="272"/>
      <c r="B163" s="96"/>
      <c r="C163" s="96" t="s">
        <v>199</v>
      </c>
      <c r="D163" s="435" t="s">
        <v>200</v>
      </c>
      <c r="E163" s="436"/>
      <c r="F163" s="101"/>
      <c r="G163" s="104">
        <v>300000</v>
      </c>
      <c r="H163" s="104">
        <v>300000</v>
      </c>
      <c r="I163" s="104">
        <v>190023</v>
      </c>
      <c r="J163" s="273">
        <f t="shared" si="10"/>
        <v>0.63341</v>
      </c>
    </row>
    <row r="164" spans="1:10" ht="15.75" customHeight="1">
      <c r="A164" s="272"/>
      <c r="B164" s="96"/>
      <c r="C164" s="96"/>
      <c r="D164" s="96"/>
      <c r="E164" s="96"/>
      <c r="F164" s="96"/>
      <c r="G164" s="97"/>
      <c r="H164" s="97"/>
      <c r="I164" s="97"/>
      <c r="J164" s="274"/>
    </row>
    <row r="165" spans="1:10" ht="15.75" customHeight="1">
      <c r="A165" s="384" t="s">
        <v>331</v>
      </c>
      <c r="B165" s="385"/>
      <c r="C165" s="385"/>
      <c r="D165" s="385"/>
      <c r="E165" s="386"/>
      <c r="F165" s="107"/>
      <c r="G165" s="91">
        <f>G170+G166</f>
        <v>4248277</v>
      </c>
      <c r="H165" s="91">
        <f>H170+H166</f>
        <v>18680605</v>
      </c>
      <c r="I165" s="91">
        <f>I170+I166</f>
        <v>18678675</v>
      </c>
      <c r="J165" s="269">
        <f>I165/H165</f>
        <v>0.9998966842883301</v>
      </c>
    </row>
    <row r="166" spans="1:10" ht="15.75" customHeight="1">
      <c r="A166" s="276" t="s">
        <v>34</v>
      </c>
      <c r="B166" s="96"/>
      <c r="C166" s="437" t="s">
        <v>35</v>
      </c>
      <c r="D166" s="438"/>
      <c r="E166" s="439"/>
      <c r="F166" s="164"/>
      <c r="G166" s="158">
        <f>SUM(G167:G169)</f>
        <v>0</v>
      </c>
      <c r="H166" s="158">
        <f>SUM(H167:H169)</f>
        <v>4363525</v>
      </c>
      <c r="I166" s="158">
        <f>SUM(I167:I169)</f>
        <v>4362917</v>
      </c>
      <c r="J166" s="271">
        <f aca="true" t="shared" si="11" ref="J166:J174">I166/H166</f>
        <v>0.9998606631106731</v>
      </c>
    </row>
    <row r="167" spans="1:10" ht="15.75" customHeight="1">
      <c r="A167" s="276"/>
      <c r="B167" s="96"/>
      <c r="C167" s="96" t="s">
        <v>357</v>
      </c>
      <c r="D167" s="96"/>
      <c r="E167" s="96" t="s">
        <v>385</v>
      </c>
      <c r="F167" s="164"/>
      <c r="G167" s="160">
        <v>0</v>
      </c>
      <c r="H167" s="160">
        <v>750606</v>
      </c>
      <c r="I167" s="160">
        <v>750606</v>
      </c>
      <c r="J167" s="273">
        <f t="shared" si="11"/>
        <v>1</v>
      </c>
    </row>
    <row r="168" spans="1:10" ht="31.5">
      <c r="A168" s="279"/>
      <c r="B168" s="164"/>
      <c r="C168" s="96" t="s">
        <v>318</v>
      </c>
      <c r="D168" s="96"/>
      <c r="E168" s="100" t="s">
        <v>415</v>
      </c>
      <c r="F168" s="164"/>
      <c r="G168" s="160">
        <v>0</v>
      </c>
      <c r="H168" s="160">
        <v>2685370</v>
      </c>
      <c r="I168" s="160">
        <v>2684762</v>
      </c>
      <c r="J168" s="288">
        <f t="shared" si="11"/>
        <v>0.9997735879971847</v>
      </c>
    </row>
    <row r="169" spans="1:10" ht="15.75" customHeight="1">
      <c r="A169" s="279"/>
      <c r="B169" s="164"/>
      <c r="C169" s="96" t="s">
        <v>225</v>
      </c>
      <c r="D169" s="96"/>
      <c r="E169" s="96" t="s">
        <v>226</v>
      </c>
      <c r="F169" s="164"/>
      <c r="G169" s="160">
        <v>0</v>
      </c>
      <c r="H169" s="160">
        <v>927549</v>
      </c>
      <c r="I169" s="160">
        <v>927549</v>
      </c>
      <c r="J169" s="273">
        <f t="shared" si="11"/>
        <v>1</v>
      </c>
    </row>
    <row r="170" spans="1:10" ht="15.75" customHeight="1">
      <c r="A170" s="276" t="s">
        <v>36</v>
      </c>
      <c r="B170" s="96"/>
      <c r="C170" s="437" t="s">
        <v>37</v>
      </c>
      <c r="D170" s="438"/>
      <c r="E170" s="439"/>
      <c r="F170" s="96"/>
      <c r="G170" s="94">
        <f>SUM(G171:G174)</f>
        <v>4248277</v>
      </c>
      <c r="H170" s="94">
        <f>SUM(H171:H174)</f>
        <v>14317080</v>
      </c>
      <c r="I170" s="94">
        <f>SUM(I171:I174)</f>
        <v>14315758</v>
      </c>
      <c r="J170" s="271">
        <f t="shared" si="11"/>
        <v>0.9999076627356975</v>
      </c>
    </row>
    <row r="171" spans="1:10" ht="15.75" customHeight="1">
      <c r="A171" s="276"/>
      <c r="B171" s="113" t="s">
        <v>234</v>
      </c>
      <c r="C171" s="87"/>
      <c r="D171" s="455" t="s">
        <v>380</v>
      </c>
      <c r="E171" s="456"/>
      <c r="F171" s="96"/>
      <c r="G171" s="97">
        <v>3345100</v>
      </c>
      <c r="H171" s="97">
        <v>3793053</v>
      </c>
      <c r="I171" s="97">
        <v>3793050</v>
      </c>
      <c r="J171" s="273">
        <f t="shared" si="11"/>
        <v>0.9999992090803899</v>
      </c>
    </row>
    <row r="172" spans="1:10" ht="15.75" customHeight="1">
      <c r="A172" s="276"/>
      <c r="B172" s="113" t="s">
        <v>378</v>
      </c>
      <c r="C172" s="87"/>
      <c r="D172" s="455" t="s">
        <v>381</v>
      </c>
      <c r="E172" s="456"/>
      <c r="F172" s="96"/>
      <c r="G172" s="97">
        <v>0</v>
      </c>
      <c r="H172" s="97">
        <v>0</v>
      </c>
      <c r="I172" s="97">
        <v>0</v>
      </c>
      <c r="J172" s="273"/>
    </row>
    <row r="173" spans="1:10" ht="15.75" customHeight="1">
      <c r="A173" s="276"/>
      <c r="B173" s="113" t="s">
        <v>379</v>
      </c>
      <c r="C173" s="87"/>
      <c r="D173" s="455" t="s">
        <v>382</v>
      </c>
      <c r="E173" s="456"/>
      <c r="F173" s="96"/>
      <c r="G173" s="97">
        <v>0</v>
      </c>
      <c r="H173" s="97">
        <v>7480050</v>
      </c>
      <c r="I173" s="97">
        <f>7480050-850</f>
        <v>7479200</v>
      </c>
      <c r="J173" s="273">
        <f t="shared" si="11"/>
        <v>0.9998863643959599</v>
      </c>
    </row>
    <row r="174" spans="1:10" ht="15.75" customHeight="1">
      <c r="A174" s="272"/>
      <c r="B174" s="113" t="s">
        <v>235</v>
      </c>
      <c r="C174" s="87"/>
      <c r="D174" s="455" t="s">
        <v>236</v>
      </c>
      <c r="E174" s="456"/>
      <c r="F174" s="96"/>
      <c r="G174" s="97">
        <v>903177</v>
      </c>
      <c r="H174" s="97">
        <v>3043977</v>
      </c>
      <c r="I174" s="97">
        <v>3043508</v>
      </c>
      <c r="J174" s="273">
        <f t="shared" si="11"/>
        <v>0.9998459252484496</v>
      </c>
    </row>
    <row r="175" spans="1:10" ht="15.75" customHeight="1">
      <c r="A175" s="272"/>
      <c r="B175" s="96"/>
      <c r="C175" s="96"/>
      <c r="D175" s="96"/>
      <c r="E175" s="96"/>
      <c r="F175" s="96"/>
      <c r="G175" s="97"/>
      <c r="H175" s="20"/>
      <c r="I175" s="20"/>
      <c r="J175" s="289"/>
    </row>
    <row r="176" spans="1:10" s="53" customFormat="1" ht="15.75" customHeight="1">
      <c r="A176" s="384" t="s">
        <v>241</v>
      </c>
      <c r="B176" s="385"/>
      <c r="C176" s="385"/>
      <c r="D176" s="385"/>
      <c r="E176" s="386"/>
      <c r="F176" s="107"/>
      <c r="G176" s="91">
        <f>SUM(G177)</f>
        <v>16300000</v>
      </c>
      <c r="H176" s="91">
        <f>SUM(H177)</f>
        <v>15300000</v>
      </c>
      <c r="I176" s="91">
        <f>SUM(I177)</f>
        <v>14512131</v>
      </c>
      <c r="J176" s="269">
        <f>I176/H176</f>
        <v>0.9485052941176471</v>
      </c>
    </row>
    <row r="177" spans="1:10" s="53" customFormat="1" ht="15.75" customHeight="1">
      <c r="A177" s="270" t="s">
        <v>27</v>
      </c>
      <c r="B177" s="93"/>
      <c r="C177" s="437" t="s">
        <v>28</v>
      </c>
      <c r="D177" s="438"/>
      <c r="E177" s="439"/>
      <c r="F177" s="101"/>
      <c r="G177" s="116">
        <f>G178+G181</f>
        <v>16300000</v>
      </c>
      <c r="H177" s="116">
        <f>H178+H181</f>
        <v>15300000</v>
      </c>
      <c r="I177" s="116">
        <f>I178+I181</f>
        <v>14512131</v>
      </c>
      <c r="J177" s="271">
        <f aca="true" t="shared" si="12" ref="J177:J182">I177/H177</f>
        <v>0.9485052941176471</v>
      </c>
    </row>
    <row r="178" spans="1:10" s="53" customFormat="1" ht="15.75" customHeight="1">
      <c r="A178" s="275"/>
      <c r="B178" s="93" t="s">
        <v>183</v>
      </c>
      <c r="C178" s="102"/>
      <c r="D178" s="437" t="s">
        <v>184</v>
      </c>
      <c r="E178" s="439"/>
      <c r="F178" s="101"/>
      <c r="G178" s="94">
        <f>G179+G180</f>
        <v>13000000</v>
      </c>
      <c r="H178" s="94">
        <f>H179+H180</f>
        <v>12000000</v>
      </c>
      <c r="I178" s="94">
        <f>I179+I180</f>
        <v>11531492</v>
      </c>
      <c r="J178" s="271">
        <f t="shared" si="12"/>
        <v>0.9609576666666667</v>
      </c>
    </row>
    <row r="179" spans="1:10" s="53" customFormat="1" ht="15.75" customHeight="1">
      <c r="A179" s="272"/>
      <c r="B179" s="96"/>
      <c r="C179" s="96" t="s">
        <v>185</v>
      </c>
      <c r="D179" s="435" t="s">
        <v>186</v>
      </c>
      <c r="E179" s="436"/>
      <c r="F179" s="101"/>
      <c r="G179" s="115">
        <v>12000000</v>
      </c>
      <c r="H179" s="115">
        <v>12000000</v>
      </c>
      <c r="I179" s="115">
        <v>11531492</v>
      </c>
      <c r="J179" s="273">
        <f t="shared" si="12"/>
        <v>0.9609576666666667</v>
      </c>
    </row>
    <row r="180" spans="1:10" ht="15.75" customHeight="1">
      <c r="A180" s="272"/>
      <c r="B180" s="96"/>
      <c r="C180" s="96" t="s">
        <v>189</v>
      </c>
      <c r="D180" s="435" t="s">
        <v>190</v>
      </c>
      <c r="E180" s="436"/>
      <c r="F180" s="96"/>
      <c r="G180" s="117">
        <v>1000000</v>
      </c>
      <c r="H180" s="117">
        <v>0</v>
      </c>
      <c r="I180" s="117">
        <v>0</v>
      </c>
      <c r="J180" s="273"/>
    </row>
    <row r="181" spans="1:10" ht="15.75" customHeight="1">
      <c r="A181" s="275"/>
      <c r="B181" s="93" t="s">
        <v>197</v>
      </c>
      <c r="C181" s="102"/>
      <c r="D181" s="437" t="s">
        <v>198</v>
      </c>
      <c r="E181" s="439"/>
      <c r="F181" s="96"/>
      <c r="G181" s="118">
        <f>G182</f>
        <v>3300000</v>
      </c>
      <c r="H181" s="118">
        <f>H182</f>
        <v>3300000</v>
      </c>
      <c r="I181" s="118">
        <f>I182</f>
        <v>2980639</v>
      </c>
      <c r="J181" s="273">
        <f t="shared" si="12"/>
        <v>0.9032239393939394</v>
      </c>
    </row>
    <row r="182" spans="1:10" ht="15.75" customHeight="1">
      <c r="A182" s="272"/>
      <c r="B182" s="96"/>
      <c r="C182" s="96" t="s">
        <v>199</v>
      </c>
      <c r="D182" s="435" t="s">
        <v>200</v>
      </c>
      <c r="E182" s="436"/>
      <c r="F182" s="96"/>
      <c r="G182" s="119">
        <v>3300000</v>
      </c>
      <c r="H182" s="119">
        <v>3300000</v>
      </c>
      <c r="I182" s="119">
        <v>2980639</v>
      </c>
      <c r="J182" s="273">
        <f t="shared" si="12"/>
        <v>0.9032239393939394</v>
      </c>
    </row>
    <row r="183" spans="1:10" ht="15.75" customHeight="1">
      <c r="A183" s="272"/>
      <c r="B183" s="96"/>
      <c r="C183" s="96"/>
      <c r="D183" s="96"/>
      <c r="E183" s="98"/>
      <c r="F183" s="96"/>
      <c r="G183" s="120"/>
      <c r="H183" s="120"/>
      <c r="I183" s="120"/>
      <c r="J183" s="290"/>
    </row>
    <row r="184" spans="1:10" ht="15.75" customHeight="1">
      <c r="A184" s="384" t="s">
        <v>242</v>
      </c>
      <c r="B184" s="385"/>
      <c r="C184" s="385"/>
      <c r="D184" s="385"/>
      <c r="E184" s="386"/>
      <c r="F184" s="114">
        <v>1</v>
      </c>
      <c r="G184" s="109">
        <f>G185+G190+G193</f>
        <v>7228344.015000001</v>
      </c>
      <c r="H184" s="109">
        <f>H185+H190+H193</f>
        <v>7814344</v>
      </c>
      <c r="I184" s="109">
        <f>I185+I190+I193</f>
        <v>6578929</v>
      </c>
      <c r="J184" s="269">
        <f>I184/H184</f>
        <v>0.8419041956688879</v>
      </c>
    </row>
    <row r="185" spans="1:10" ht="15.75" customHeight="1">
      <c r="A185" s="270" t="s">
        <v>23</v>
      </c>
      <c r="B185" s="93"/>
      <c r="C185" s="437" t="s">
        <v>150</v>
      </c>
      <c r="D185" s="438"/>
      <c r="E185" s="439"/>
      <c r="F185" s="93"/>
      <c r="G185" s="112">
        <f>SUM(G186)</f>
        <v>2751813</v>
      </c>
      <c r="H185" s="112">
        <f>SUM(H186)</f>
        <v>2751813</v>
      </c>
      <c r="I185" s="112">
        <f>SUM(I186)</f>
        <v>2071246</v>
      </c>
      <c r="J185" s="271">
        <f aca="true" t="shared" si="13" ref="J185:J200">I185/H185</f>
        <v>0.7526841395109334</v>
      </c>
    </row>
    <row r="186" spans="1:10" ht="15.75" customHeight="1">
      <c r="A186" s="272"/>
      <c r="B186" s="93" t="s">
        <v>151</v>
      </c>
      <c r="C186" s="96"/>
      <c r="D186" s="435" t="s">
        <v>152</v>
      </c>
      <c r="E186" s="436"/>
      <c r="F186" s="93"/>
      <c r="G186" s="110">
        <f>SUM(G187:G189)</f>
        <v>2751813</v>
      </c>
      <c r="H186" s="110">
        <f>SUM(H187:H189)</f>
        <v>2751813</v>
      </c>
      <c r="I186" s="110">
        <f>SUM(I187:I189)</f>
        <v>2071246</v>
      </c>
      <c r="J186" s="273">
        <f t="shared" si="13"/>
        <v>0.7526841395109334</v>
      </c>
    </row>
    <row r="187" spans="1:10" ht="15.75" customHeight="1">
      <c r="A187" s="283"/>
      <c r="B187" s="96"/>
      <c r="C187" s="96" t="s">
        <v>153</v>
      </c>
      <c r="D187" s="435" t="s">
        <v>154</v>
      </c>
      <c r="E187" s="436"/>
      <c r="F187" s="93"/>
      <c r="G187" s="110">
        <f>2379600*1.04</f>
        <v>2474784</v>
      </c>
      <c r="H187" s="110">
        <v>2474784</v>
      </c>
      <c r="I187" s="110">
        <v>2071246</v>
      </c>
      <c r="J187" s="273">
        <f t="shared" si="13"/>
        <v>0.8369401127532746</v>
      </c>
    </row>
    <row r="188" spans="1:10" ht="15.75" customHeight="1">
      <c r="A188" s="283"/>
      <c r="B188" s="96"/>
      <c r="C188" s="96" t="s">
        <v>311</v>
      </c>
      <c r="D188" s="435" t="s">
        <v>321</v>
      </c>
      <c r="E188" s="436"/>
      <c r="F188" s="93"/>
      <c r="G188" s="110">
        <f>99150*1.04</f>
        <v>103116</v>
      </c>
      <c r="H188" s="110">
        <v>103116</v>
      </c>
      <c r="I188" s="110">
        <v>0</v>
      </c>
      <c r="J188" s="273">
        <f t="shared" si="13"/>
        <v>0</v>
      </c>
    </row>
    <row r="189" spans="1:10" ht="15.75" customHeight="1">
      <c r="A189" s="283"/>
      <c r="B189" s="96"/>
      <c r="C189" s="96" t="s">
        <v>155</v>
      </c>
      <c r="D189" s="435" t="s">
        <v>156</v>
      </c>
      <c r="E189" s="436"/>
      <c r="F189" s="93"/>
      <c r="G189" s="110">
        <v>173913</v>
      </c>
      <c r="H189" s="110">
        <v>173913</v>
      </c>
      <c r="I189" s="110">
        <v>0</v>
      </c>
      <c r="J189" s="273">
        <f t="shared" si="13"/>
        <v>0</v>
      </c>
    </row>
    <row r="190" spans="1:10" ht="15.75" customHeight="1">
      <c r="A190" s="270" t="s">
        <v>25</v>
      </c>
      <c r="B190" s="93"/>
      <c r="C190" s="437" t="s">
        <v>166</v>
      </c>
      <c r="D190" s="438"/>
      <c r="E190" s="439"/>
      <c r="F190" s="93"/>
      <c r="G190" s="112">
        <f>SUM(G191:G192)</f>
        <v>426531.015</v>
      </c>
      <c r="H190" s="112">
        <f>SUM(H191:H192)</f>
        <v>426531</v>
      </c>
      <c r="I190" s="112">
        <f>SUM(I191:I192)</f>
        <v>310213</v>
      </c>
      <c r="J190" s="271">
        <f t="shared" si="13"/>
        <v>0.7272929751882043</v>
      </c>
    </row>
    <row r="191" spans="1:10" ht="15.75" customHeight="1">
      <c r="A191" s="272"/>
      <c r="B191" s="96"/>
      <c r="C191" s="96"/>
      <c r="D191" s="450" t="s">
        <v>167</v>
      </c>
      <c r="E191" s="451"/>
      <c r="F191" s="93"/>
      <c r="G191" s="110">
        <f>G186*0.155</f>
        <v>426531.015</v>
      </c>
      <c r="H191" s="110">
        <v>426531</v>
      </c>
      <c r="I191" s="110">
        <v>310213</v>
      </c>
      <c r="J191" s="273">
        <f t="shared" si="13"/>
        <v>0.7272929751882043</v>
      </c>
    </row>
    <row r="192" spans="1:10" ht="15.75" customHeight="1">
      <c r="A192" s="272"/>
      <c r="B192" s="96"/>
      <c r="C192" s="96"/>
      <c r="D192" s="450" t="s">
        <v>168</v>
      </c>
      <c r="E192" s="451"/>
      <c r="F192" s="93"/>
      <c r="G192" s="110"/>
      <c r="H192" s="110"/>
      <c r="I192" s="110"/>
      <c r="J192" s="273"/>
    </row>
    <row r="193" spans="1:10" ht="15.75" customHeight="1">
      <c r="A193" s="270" t="s">
        <v>27</v>
      </c>
      <c r="B193" s="93"/>
      <c r="C193" s="167" t="s">
        <v>28</v>
      </c>
      <c r="D193" s="168"/>
      <c r="E193" s="169"/>
      <c r="F193" s="96"/>
      <c r="G193" s="121">
        <f>G194+G196+G199</f>
        <v>4050000</v>
      </c>
      <c r="H193" s="121">
        <f>H194+H196+H199</f>
        <v>4636000</v>
      </c>
      <c r="I193" s="121">
        <f>I194+I196+I199</f>
        <v>4197470</v>
      </c>
      <c r="J193" s="271">
        <f t="shared" si="13"/>
        <v>0.9054076790336497</v>
      </c>
    </row>
    <row r="194" spans="1:10" ht="15.75" customHeight="1">
      <c r="A194" s="275"/>
      <c r="B194" s="93" t="s">
        <v>169</v>
      </c>
      <c r="C194" s="102"/>
      <c r="D194" s="437" t="s">
        <v>170</v>
      </c>
      <c r="E194" s="439"/>
      <c r="F194" s="96"/>
      <c r="G194" s="122">
        <f>G195</f>
        <v>1500000</v>
      </c>
      <c r="H194" s="122">
        <f>H195</f>
        <v>1550000</v>
      </c>
      <c r="I194" s="122">
        <f>I195</f>
        <v>1549518</v>
      </c>
      <c r="J194" s="271">
        <f t="shared" si="13"/>
        <v>0.9996890322580645</v>
      </c>
    </row>
    <row r="195" spans="1:10" ht="15.75" customHeight="1">
      <c r="A195" s="272"/>
      <c r="B195" s="96"/>
      <c r="C195" s="96" t="s">
        <v>174</v>
      </c>
      <c r="D195" s="435" t="s">
        <v>175</v>
      </c>
      <c r="E195" s="436"/>
      <c r="F195" s="96"/>
      <c r="G195" s="115">
        <v>1500000</v>
      </c>
      <c r="H195" s="115">
        <v>1550000</v>
      </c>
      <c r="I195" s="115">
        <v>1549518</v>
      </c>
      <c r="J195" s="273">
        <f t="shared" si="13"/>
        <v>0.9996890322580645</v>
      </c>
    </row>
    <row r="196" spans="1:10" ht="15.75" customHeight="1">
      <c r="A196" s="275"/>
      <c r="B196" s="93" t="s">
        <v>183</v>
      </c>
      <c r="C196" s="102"/>
      <c r="D196" s="437" t="s">
        <v>184</v>
      </c>
      <c r="E196" s="439"/>
      <c r="F196" s="96"/>
      <c r="G196" s="121">
        <f>G197+G198</f>
        <v>1650000</v>
      </c>
      <c r="H196" s="121">
        <f>H197+H198</f>
        <v>2186000</v>
      </c>
      <c r="I196" s="121">
        <f>I197+I198</f>
        <v>2185023</v>
      </c>
      <c r="J196" s="271">
        <f t="shared" si="13"/>
        <v>0.9995530649588289</v>
      </c>
    </row>
    <row r="197" spans="1:10" ht="15.75" customHeight="1">
      <c r="A197" s="272"/>
      <c r="B197" s="96"/>
      <c r="C197" s="96" t="s">
        <v>189</v>
      </c>
      <c r="D197" s="435" t="s">
        <v>190</v>
      </c>
      <c r="E197" s="436"/>
      <c r="F197" s="96"/>
      <c r="G197" s="115">
        <v>150000</v>
      </c>
      <c r="H197" s="115">
        <v>166000</v>
      </c>
      <c r="I197" s="115">
        <v>165023</v>
      </c>
      <c r="J197" s="273">
        <f t="shared" si="13"/>
        <v>0.9941144578313253</v>
      </c>
    </row>
    <row r="198" spans="1:10" ht="15.75" customHeight="1">
      <c r="A198" s="272"/>
      <c r="B198" s="96"/>
      <c r="C198" s="96" t="s">
        <v>191</v>
      </c>
      <c r="D198" s="435" t="s">
        <v>192</v>
      </c>
      <c r="E198" s="436"/>
      <c r="F198" s="96"/>
      <c r="G198" s="115">
        <v>1500000</v>
      </c>
      <c r="H198" s="115">
        <v>2020000</v>
      </c>
      <c r="I198" s="115">
        <v>2020000</v>
      </c>
      <c r="J198" s="273">
        <f t="shared" si="13"/>
        <v>1</v>
      </c>
    </row>
    <row r="199" spans="1:10" ht="15.75" customHeight="1">
      <c r="A199" s="275"/>
      <c r="B199" s="93" t="s">
        <v>197</v>
      </c>
      <c r="C199" s="102"/>
      <c r="D199" s="437" t="s">
        <v>198</v>
      </c>
      <c r="E199" s="439"/>
      <c r="F199" s="96"/>
      <c r="G199" s="122">
        <f>G200</f>
        <v>900000</v>
      </c>
      <c r="H199" s="122">
        <f>H200</f>
        <v>900000</v>
      </c>
      <c r="I199" s="122">
        <f>I200</f>
        <v>462929</v>
      </c>
      <c r="J199" s="271">
        <f t="shared" si="13"/>
        <v>0.5143655555555555</v>
      </c>
    </row>
    <row r="200" spans="1:10" ht="15.75" customHeight="1">
      <c r="A200" s="272"/>
      <c r="B200" s="96"/>
      <c r="C200" s="96" t="s">
        <v>199</v>
      </c>
      <c r="D200" s="435" t="s">
        <v>200</v>
      </c>
      <c r="E200" s="436"/>
      <c r="F200" s="96"/>
      <c r="G200" s="123">
        <v>900000</v>
      </c>
      <c r="H200" s="123">
        <v>900000</v>
      </c>
      <c r="I200" s="123">
        <v>462929</v>
      </c>
      <c r="J200" s="273">
        <f t="shared" si="13"/>
        <v>0.5143655555555555</v>
      </c>
    </row>
    <row r="201" spans="1:10" ht="15.75" customHeight="1">
      <c r="A201" s="272"/>
      <c r="B201" s="96"/>
      <c r="C201" s="96"/>
      <c r="D201" s="98"/>
      <c r="E201" s="98"/>
      <c r="F201" s="96"/>
      <c r="G201" s="123"/>
      <c r="H201" s="123"/>
      <c r="I201" s="123"/>
      <c r="J201" s="291"/>
    </row>
    <row r="202" spans="1:10" ht="15.75" customHeight="1">
      <c r="A202" s="384" t="s">
        <v>107</v>
      </c>
      <c r="B202" s="385"/>
      <c r="C202" s="385"/>
      <c r="D202" s="385"/>
      <c r="E202" s="386"/>
      <c r="F202" s="114">
        <v>13</v>
      </c>
      <c r="G202" s="124">
        <f>G203+G215+G218+G237+G232</f>
        <v>134991784.743</v>
      </c>
      <c r="H202" s="124">
        <f>H203+H215+H218+H237+H232</f>
        <v>136544603</v>
      </c>
      <c r="I202" s="124">
        <f>I203+I215+I218+I237+I232</f>
        <v>123347652</v>
      </c>
      <c r="J202" s="269">
        <f>I202/H202</f>
        <v>0.9033506216280112</v>
      </c>
    </row>
    <row r="203" spans="1:10" ht="15.75" customHeight="1">
      <c r="A203" s="270" t="s">
        <v>23</v>
      </c>
      <c r="B203" s="93"/>
      <c r="C203" s="437" t="s">
        <v>150</v>
      </c>
      <c r="D203" s="438"/>
      <c r="E203" s="439"/>
      <c r="F203" s="125"/>
      <c r="G203" s="112">
        <f>G204+G212</f>
        <v>53932510.6</v>
      </c>
      <c r="H203" s="112">
        <f>H204+H212</f>
        <v>51246648</v>
      </c>
      <c r="I203" s="112">
        <f>I204+I212</f>
        <v>50812693</v>
      </c>
      <c r="J203" s="271">
        <f aca="true" t="shared" si="14" ref="J203:J239">I203/H203</f>
        <v>0.9915320315194078</v>
      </c>
    </row>
    <row r="204" spans="1:10" ht="15.75" customHeight="1">
      <c r="A204" s="272"/>
      <c r="B204" s="93" t="s">
        <v>151</v>
      </c>
      <c r="C204" s="93"/>
      <c r="D204" s="437" t="s">
        <v>152</v>
      </c>
      <c r="E204" s="439"/>
      <c r="F204" s="96"/>
      <c r="G204" s="112">
        <f>SUM(G205:G211)</f>
        <v>49348510.6</v>
      </c>
      <c r="H204" s="112">
        <f>SUM(H205:H211)</f>
        <v>46248102</v>
      </c>
      <c r="I204" s="112">
        <f>SUM(I205:I211)</f>
        <v>45933527</v>
      </c>
      <c r="J204" s="271">
        <f t="shared" si="14"/>
        <v>0.9931980992430781</v>
      </c>
    </row>
    <row r="205" spans="1:10" ht="15.75" customHeight="1">
      <c r="A205" s="283"/>
      <c r="B205" s="96"/>
      <c r="C205" s="96" t="s">
        <v>153</v>
      </c>
      <c r="D205" s="435" t="s">
        <v>154</v>
      </c>
      <c r="E205" s="436"/>
      <c r="F205" s="96"/>
      <c r="G205" s="111">
        <f>40865040*1.04-710000</f>
        <v>41789641.6</v>
      </c>
      <c r="H205" s="111">
        <v>37547758</v>
      </c>
      <c r="I205" s="183">
        <v>37309809</v>
      </c>
      <c r="J205" s="273">
        <f t="shared" si="14"/>
        <v>0.9936627640989909</v>
      </c>
    </row>
    <row r="206" spans="1:10" ht="15.75" customHeight="1">
      <c r="A206" s="283"/>
      <c r="B206" s="96"/>
      <c r="C206" s="96" t="s">
        <v>311</v>
      </c>
      <c r="D206" s="435" t="s">
        <v>321</v>
      </c>
      <c r="E206" s="436"/>
      <c r="F206" s="96"/>
      <c r="G206" s="111">
        <f>1450000*1.04</f>
        <v>1508000</v>
      </c>
      <c r="H206" s="111">
        <v>1806000</v>
      </c>
      <c r="I206" s="183">
        <v>1805061</v>
      </c>
      <c r="J206" s="273">
        <f t="shared" si="14"/>
        <v>0.9994800664451827</v>
      </c>
    </row>
    <row r="207" spans="1:10" ht="15.75" customHeight="1">
      <c r="A207" s="283"/>
      <c r="B207" s="96"/>
      <c r="C207" s="96" t="s">
        <v>230</v>
      </c>
      <c r="D207" s="435" t="s">
        <v>231</v>
      </c>
      <c r="E207" s="436"/>
      <c r="F207" s="96"/>
      <c r="G207" s="110">
        <v>3000000</v>
      </c>
      <c r="H207" s="110">
        <v>3173549</v>
      </c>
      <c r="I207" s="183">
        <v>3173317</v>
      </c>
      <c r="J207" s="273">
        <f t="shared" si="14"/>
        <v>0.9999268957246288</v>
      </c>
    </row>
    <row r="208" spans="1:10" ht="15.75" customHeight="1">
      <c r="A208" s="272"/>
      <c r="B208" s="96"/>
      <c r="C208" s="96" t="s">
        <v>155</v>
      </c>
      <c r="D208" s="435" t="s">
        <v>156</v>
      </c>
      <c r="E208" s="436"/>
      <c r="F208" s="96"/>
      <c r="G208" s="110">
        <v>2260869</v>
      </c>
      <c r="H208" s="110">
        <v>2534704</v>
      </c>
      <c r="I208" s="183">
        <v>2534704</v>
      </c>
      <c r="J208" s="273">
        <f t="shared" si="14"/>
        <v>1</v>
      </c>
    </row>
    <row r="209" spans="1:10" ht="15.75" customHeight="1">
      <c r="A209" s="272"/>
      <c r="B209" s="96"/>
      <c r="C209" s="96" t="s">
        <v>243</v>
      </c>
      <c r="D209" s="435" t="s">
        <v>244</v>
      </c>
      <c r="E209" s="436"/>
      <c r="F209" s="96"/>
      <c r="G209" s="110">
        <v>80000</v>
      </c>
      <c r="H209" s="110">
        <v>80000</v>
      </c>
      <c r="I209" s="183">
        <v>71280</v>
      </c>
      <c r="J209" s="273">
        <f t="shared" si="14"/>
        <v>0.891</v>
      </c>
    </row>
    <row r="210" spans="1:10" ht="15.75" customHeight="1">
      <c r="A210" s="272"/>
      <c r="B210" s="96"/>
      <c r="C210" s="96" t="s">
        <v>250</v>
      </c>
      <c r="D210" s="435" t="s">
        <v>251</v>
      </c>
      <c r="E210" s="436"/>
      <c r="F210" s="96"/>
      <c r="G210" s="110">
        <v>0</v>
      </c>
      <c r="H210" s="110">
        <v>46091</v>
      </c>
      <c r="I210" s="183">
        <v>46091</v>
      </c>
      <c r="J210" s="273">
        <f t="shared" si="14"/>
        <v>1</v>
      </c>
    </row>
    <row r="211" spans="1:10" ht="15.75" customHeight="1">
      <c r="A211" s="272"/>
      <c r="B211" s="96"/>
      <c r="C211" s="95" t="s">
        <v>218</v>
      </c>
      <c r="D211" s="435" t="s">
        <v>333</v>
      </c>
      <c r="E211" s="436"/>
      <c r="F211" s="96"/>
      <c r="G211" s="110">
        <v>710000</v>
      </c>
      <c r="H211" s="110">
        <v>1060000</v>
      </c>
      <c r="I211" s="183">
        <v>993265</v>
      </c>
      <c r="J211" s="273">
        <f t="shared" si="14"/>
        <v>0.9370424528301887</v>
      </c>
    </row>
    <row r="212" spans="1:10" ht="15.75" customHeight="1">
      <c r="A212" s="272"/>
      <c r="B212" s="93" t="s">
        <v>157</v>
      </c>
      <c r="C212" s="93"/>
      <c r="D212" s="437" t="s">
        <v>158</v>
      </c>
      <c r="E212" s="439"/>
      <c r="F212" s="93"/>
      <c r="G212" s="112">
        <f>G213</f>
        <v>4584000</v>
      </c>
      <c r="H212" s="112">
        <f>H213+H214</f>
        <v>4998546</v>
      </c>
      <c r="I212" s="112">
        <f>I213+I214</f>
        <v>4879166</v>
      </c>
      <c r="J212" s="271">
        <f t="shared" si="14"/>
        <v>0.9761170548395474</v>
      </c>
    </row>
    <row r="213" spans="1:10" ht="15.75" customHeight="1">
      <c r="A213" s="272"/>
      <c r="B213" s="96"/>
      <c r="C213" s="96" t="s">
        <v>245</v>
      </c>
      <c r="D213" s="435" t="s">
        <v>246</v>
      </c>
      <c r="E213" s="436"/>
      <c r="F213" s="96"/>
      <c r="G213" s="110">
        <f>1320000+3264000</f>
        <v>4584000</v>
      </c>
      <c r="H213" s="110">
        <f>1320000+3264000</f>
        <v>4584000</v>
      </c>
      <c r="I213" s="110">
        <v>4464620</v>
      </c>
      <c r="J213" s="273">
        <f t="shared" si="14"/>
        <v>0.9739572425828971</v>
      </c>
    </row>
    <row r="214" spans="1:10" ht="15.75" customHeight="1">
      <c r="A214" s="272"/>
      <c r="B214" s="96"/>
      <c r="C214" s="96" t="s">
        <v>164</v>
      </c>
      <c r="D214" s="435" t="s">
        <v>165</v>
      </c>
      <c r="E214" s="436"/>
      <c r="F214" s="96"/>
      <c r="G214" s="110">
        <v>0</v>
      </c>
      <c r="H214" s="110">
        <v>414546</v>
      </c>
      <c r="I214" s="110">
        <v>414546</v>
      </c>
      <c r="J214" s="273">
        <f t="shared" si="14"/>
        <v>1</v>
      </c>
    </row>
    <row r="215" spans="1:10" ht="15.75" customHeight="1">
      <c r="A215" s="270" t="s">
        <v>25</v>
      </c>
      <c r="B215" s="93"/>
      <c r="C215" s="437" t="s">
        <v>166</v>
      </c>
      <c r="D215" s="438"/>
      <c r="E215" s="439"/>
      <c r="F215" s="96"/>
      <c r="G215" s="112">
        <f>SUM(G216:G217)</f>
        <v>8359539.143</v>
      </c>
      <c r="H215" s="112">
        <f>SUM(H216:H217)</f>
        <v>8359539</v>
      </c>
      <c r="I215" s="112">
        <f>SUM(I216:I217)</f>
        <v>7050283</v>
      </c>
      <c r="J215" s="271">
        <f t="shared" si="14"/>
        <v>0.843381794139605</v>
      </c>
    </row>
    <row r="216" spans="1:10" ht="15.75" customHeight="1">
      <c r="A216" s="272"/>
      <c r="B216" s="96"/>
      <c r="C216" s="96" t="s">
        <v>232</v>
      </c>
      <c r="D216" s="450" t="s">
        <v>167</v>
      </c>
      <c r="E216" s="451"/>
      <c r="F216" s="96"/>
      <c r="G216" s="111">
        <f>(G204+G212)*0.155</f>
        <v>8359539.143</v>
      </c>
      <c r="H216" s="111">
        <v>8359539</v>
      </c>
      <c r="I216" s="111">
        <v>7050283</v>
      </c>
      <c r="J216" s="273">
        <f t="shared" si="14"/>
        <v>0.843381794139605</v>
      </c>
    </row>
    <row r="217" spans="1:10" ht="15.75" customHeight="1">
      <c r="A217" s="272"/>
      <c r="B217" s="96"/>
      <c r="C217" s="96" t="s">
        <v>247</v>
      </c>
      <c r="D217" s="450" t="s">
        <v>168</v>
      </c>
      <c r="E217" s="451"/>
      <c r="F217" s="96"/>
      <c r="G217" s="110"/>
      <c r="H217" s="110"/>
      <c r="I217" s="110"/>
      <c r="J217" s="273"/>
    </row>
    <row r="218" spans="1:10" ht="15.75" customHeight="1">
      <c r="A218" s="270" t="s">
        <v>27</v>
      </c>
      <c r="B218" s="93"/>
      <c r="C218" s="437" t="s">
        <v>28</v>
      </c>
      <c r="D218" s="438"/>
      <c r="E218" s="439"/>
      <c r="F218" s="96"/>
      <c r="G218" s="112">
        <f>G219+G222+G225+G230</f>
        <v>27930000</v>
      </c>
      <c r="H218" s="112">
        <f>H219+H222+H225+H230</f>
        <v>27408620</v>
      </c>
      <c r="I218" s="112">
        <f>I219+I222+I225+I230</f>
        <v>18433245</v>
      </c>
      <c r="J218" s="271">
        <f t="shared" si="14"/>
        <v>0.6725345894831626</v>
      </c>
    </row>
    <row r="219" spans="1:10" ht="15.75" customHeight="1">
      <c r="A219" s="275"/>
      <c r="B219" s="93" t="s">
        <v>169</v>
      </c>
      <c r="C219" s="102"/>
      <c r="D219" s="437" t="s">
        <v>170</v>
      </c>
      <c r="E219" s="439"/>
      <c r="F219" s="96"/>
      <c r="G219" s="112">
        <f>G220+G221</f>
        <v>6000000</v>
      </c>
      <c r="H219" s="112">
        <f>H220+H221</f>
        <v>6000000</v>
      </c>
      <c r="I219" s="112">
        <f>I220+I221</f>
        <v>3608895</v>
      </c>
      <c r="J219" s="271">
        <f t="shared" si="14"/>
        <v>0.6014825</v>
      </c>
    </row>
    <row r="220" spans="1:10" ht="15.75" customHeight="1">
      <c r="A220" s="272"/>
      <c r="B220" s="96"/>
      <c r="C220" s="96" t="s">
        <v>171</v>
      </c>
      <c r="D220" s="435" t="s">
        <v>172</v>
      </c>
      <c r="E220" s="436"/>
      <c r="F220" s="96"/>
      <c r="G220" s="110">
        <v>100000</v>
      </c>
      <c r="H220" s="110">
        <v>100000</v>
      </c>
      <c r="I220" s="110">
        <v>0</v>
      </c>
      <c r="J220" s="273">
        <f t="shared" si="14"/>
        <v>0</v>
      </c>
    </row>
    <row r="221" spans="1:10" ht="15.75" customHeight="1">
      <c r="A221" s="272"/>
      <c r="B221" s="96"/>
      <c r="C221" s="96" t="s">
        <v>174</v>
      </c>
      <c r="D221" s="435" t="s">
        <v>175</v>
      </c>
      <c r="E221" s="436"/>
      <c r="F221" s="96"/>
      <c r="G221" s="110">
        <f>6000000-100000</f>
        <v>5900000</v>
      </c>
      <c r="H221" s="110">
        <v>5900000</v>
      </c>
      <c r="I221" s="110">
        <v>3608895</v>
      </c>
      <c r="J221" s="273">
        <f t="shared" si="14"/>
        <v>0.6116771186440678</v>
      </c>
    </row>
    <row r="222" spans="1:10" ht="15.75" customHeight="1">
      <c r="A222" s="275"/>
      <c r="B222" s="93" t="s">
        <v>177</v>
      </c>
      <c r="C222" s="102"/>
      <c r="D222" s="437" t="s">
        <v>178</v>
      </c>
      <c r="E222" s="439"/>
      <c r="F222" s="96"/>
      <c r="G222" s="112">
        <f>G223+G224</f>
        <v>900000</v>
      </c>
      <c r="H222" s="112">
        <f>H223+H224</f>
        <v>974000</v>
      </c>
      <c r="I222" s="112">
        <f>I223+I224</f>
        <v>857636</v>
      </c>
      <c r="J222" s="271">
        <f t="shared" si="14"/>
        <v>0.88052977412731</v>
      </c>
    </row>
    <row r="223" spans="1:10" ht="15.75" customHeight="1">
      <c r="A223" s="272"/>
      <c r="B223" s="96"/>
      <c r="C223" s="96" t="s">
        <v>179</v>
      </c>
      <c r="D223" s="435" t="s">
        <v>180</v>
      </c>
      <c r="E223" s="436"/>
      <c r="F223" s="96"/>
      <c r="G223" s="110">
        <v>600000</v>
      </c>
      <c r="H223" s="110">
        <v>674000</v>
      </c>
      <c r="I223" s="110">
        <v>673843</v>
      </c>
      <c r="J223" s="273">
        <f t="shared" si="14"/>
        <v>0.99976706231454</v>
      </c>
    </row>
    <row r="224" spans="1:10" ht="15.75" customHeight="1">
      <c r="A224" s="272"/>
      <c r="B224" s="96"/>
      <c r="C224" s="96" t="s">
        <v>181</v>
      </c>
      <c r="D224" s="435" t="s">
        <v>182</v>
      </c>
      <c r="E224" s="436"/>
      <c r="F224" s="96"/>
      <c r="G224" s="110">
        <v>300000</v>
      </c>
      <c r="H224" s="110">
        <v>300000</v>
      </c>
      <c r="I224" s="110">
        <v>183793</v>
      </c>
      <c r="J224" s="273">
        <f t="shared" si="14"/>
        <v>0.6126433333333333</v>
      </c>
    </row>
    <row r="225" spans="1:10" ht="15.75" customHeight="1">
      <c r="A225" s="275"/>
      <c r="B225" s="93" t="s">
        <v>183</v>
      </c>
      <c r="C225" s="102"/>
      <c r="D225" s="437" t="s">
        <v>184</v>
      </c>
      <c r="E225" s="439"/>
      <c r="F225" s="96"/>
      <c r="G225" s="112">
        <f>G226+G228+G229</f>
        <v>15300000</v>
      </c>
      <c r="H225" s="112">
        <f>H226+H228+H229</f>
        <v>14704620</v>
      </c>
      <c r="I225" s="112">
        <f>I226+I228+I229+I227</f>
        <v>10568885</v>
      </c>
      <c r="J225" s="271">
        <f t="shared" si="14"/>
        <v>0.7187458771460942</v>
      </c>
    </row>
    <row r="226" spans="1:10" ht="15.75" customHeight="1">
      <c r="A226" s="272"/>
      <c r="B226" s="96"/>
      <c r="C226" s="96" t="s">
        <v>185</v>
      </c>
      <c r="D226" s="435" t="s">
        <v>186</v>
      </c>
      <c r="E226" s="436"/>
      <c r="F226" s="96"/>
      <c r="G226" s="110">
        <v>3800000</v>
      </c>
      <c r="H226" s="110">
        <v>3204620</v>
      </c>
      <c r="I226" s="110">
        <v>3111397</v>
      </c>
      <c r="J226" s="273">
        <f t="shared" si="14"/>
        <v>0.970909811459705</v>
      </c>
    </row>
    <row r="227" spans="1:10" ht="15.75" customHeight="1">
      <c r="A227" s="272"/>
      <c r="B227" s="96"/>
      <c r="C227" s="96" t="s">
        <v>187</v>
      </c>
      <c r="D227" s="435" t="s">
        <v>577</v>
      </c>
      <c r="E227" s="436"/>
      <c r="F227" s="96"/>
      <c r="G227" s="110"/>
      <c r="H227" s="110"/>
      <c r="I227" s="110">
        <v>210228</v>
      </c>
      <c r="J227" s="273"/>
    </row>
    <row r="228" spans="1:10" ht="15.75" customHeight="1">
      <c r="A228" s="272"/>
      <c r="B228" s="96"/>
      <c r="C228" s="96" t="s">
        <v>189</v>
      </c>
      <c r="D228" s="435" t="s">
        <v>190</v>
      </c>
      <c r="E228" s="436"/>
      <c r="F228" s="96"/>
      <c r="G228" s="110">
        <v>4500000</v>
      </c>
      <c r="H228" s="110">
        <v>4500000</v>
      </c>
      <c r="I228" s="110">
        <v>2106189</v>
      </c>
      <c r="J228" s="273">
        <f t="shared" si="14"/>
        <v>0.468042</v>
      </c>
    </row>
    <row r="229" spans="1:10" ht="15.75" customHeight="1">
      <c r="A229" s="272"/>
      <c r="B229" s="96"/>
      <c r="C229" s="96" t="s">
        <v>191</v>
      </c>
      <c r="D229" s="435" t="s">
        <v>192</v>
      </c>
      <c r="E229" s="436"/>
      <c r="F229" s="96"/>
      <c r="G229" s="110">
        <v>7000000</v>
      </c>
      <c r="H229" s="110">
        <v>7000000</v>
      </c>
      <c r="I229" s="110">
        <v>5141071</v>
      </c>
      <c r="J229" s="273">
        <f t="shared" si="14"/>
        <v>0.7344387142857143</v>
      </c>
    </row>
    <row r="230" spans="1:10" ht="15.75" customHeight="1">
      <c r="A230" s="275"/>
      <c r="B230" s="93" t="s">
        <v>197</v>
      </c>
      <c r="C230" s="102"/>
      <c r="D230" s="437" t="s">
        <v>198</v>
      </c>
      <c r="E230" s="439"/>
      <c r="F230" s="96"/>
      <c r="G230" s="112">
        <f>SUM(G231)</f>
        <v>5730000</v>
      </c>
      <c r="H230" s="112">
        <f>SUM(H231)</f>
        <v>5730000</v>
      </c>
      <c r="I230" s="112">
        <f>SUM(I231)</f>
        <v>3397829</v>
      </c>
      <c r="J230" s="271">
        <f t="shared" si="14"/>
        <v>0.5929893542757417</v>
      </c>
    </row>
    <row r="231" spans="1:10" ht="15.75" customHeight="1">
      <c r="A231" s="272"/>
      <c r="B231" s="96"/>
      <c r="C231" s="96" t="s">
        <v>199</v>
      </c>
      <c r="D231" s="435" t="s">
        <v>200</v>
      </c>
      <c r="E231" s="436"/>
      <c r="F231" s="96"/>
      <c r="G231" s="111">
        <f>6000000-270000</f>
        <v>5730000</v>
      </c>
      <c r="H231" s="111">
        <v>5730000</v>
      </c>
      <c r="I231" s="111">
        <v>3397829</v>
      </c>
      <c r="J231" s="273">
        <f t="shared" si="14"/>
        <v>0.5929893542757417</v>
      </c>
    </row>
    <row r="232" spans="1:10" ht="15.75" customHeight="1">
      <c r="A232" s="276" t="s">
        <v>34</v>
      </c>
      <c r="B232" s="96"/>
      <c r="C232" s="437" t="s">
        <v>35</v>
      </c>
      <c r="D232" s="438"/>
      <c r="E232" s="439"/>
      <c r="F232" s="96"/>
      <c r="G232" s="128">
        <f>SUM(G233:G236)</f>
        <v>8526294</v>
      </c>
      <c r="H232" s="128">
        <f>SUM(H233:H236)</f>
        <v>11699555</v>
      </c>
      <c r="I232" s="128">
        <f>SUM(I233:I236)</f>
        <v>9221190</v>
      </c>
      <c r="J232" s="271">
        <f t="shared" si="14"/>
        <v>0.7881658746849773</v>
      </c>
    </row>
    <row r="233" spans="1:10" ht="15.75" customHeight="1">
      <c r="A233" s="276"/>
      <c r="B233" s="93" t="s">
        <v>224</v>
      </c>
      <c r="C233" s="93"/>
      <c r="D233" s="435" t="s">
        <v>343</v>
      </c>
      <c r="E233" s="436"/>
      <c r="F233" s="96"/>
      <c r="G233" s="111">
        <v>6613617</v>
      </c>
      <c r="H233" s="111">
        <f>6613617+150000</f>
        <v>6763617</v>
      </c>
      <c r="I233" s="111">
        <f>6613617+150000</f>
        <v>6763617</v>
      </c>
      <c r="J233" s="273">
        <f t="shared" si="14"/>
        <v>1</v>
      </c>
    </row>
    <row r="234" spans="1:10" ht="15.75" customHeight="1">
      <c r="A234" s="276"/>
      <c r="B234" s="93" t="s">
        <v>357</v>
      </c>
      <c r="C234" s="93"/>
      <c r="D234" s="435" t="s">
        <v>358</v>
      </c>
      <c r="E234" s="436"/>
      <c r="F234" s="96"/>
      <c r="G234" s="111">
        <v>50000</v>
      </c>
      <c r="H234" s="111">
        <v>50000</v>
      </c>
      <c r="I234" s="111">
        <v>35433</v>
      </c>
      <c r="J234" s="273">
        <f t="shared" si="14"/>
        <v>0.70866</v>
      </c>
    </row>
    <row r="235" spans="1:10" ht="15.75" customHeight="1">
      <c r="A235" s="276"/>
      <c r="B235" s="93" t="s">
        <v>318</v>
      </c>
      <c r="C235" s="96"/>
      <c r="D235" s="435" t="s">
        <v>317</v>
      </c>
      <c r="E235" s="436"/>
      <c r="F235" s="96"/>
      <c r="G235" s="111">
        <v>50000</v>
      </c>
      <c r="H235" s="111">
        <v>2986079</v>
      </c>
      <c r="I235" s="111">
        <v>530396</v>
      </c>
      <c r="J235" s="273">
        <f t="shared" si="14"/>
        <v>0.1776228961122596</v>
      </c>
    </row>
    <row r="236" spans="1:10" ht="15.75" customHeight="1">
      <c r="A236" s="272"/>
      <c r="B236" s="93" t="s">
        <v>225</v>
      </c>
      <c r="C236" s="96"/>
      <c r="D236" s="435" t="s">
        <v>226</v>
      </c>
      <c r="E236" s="436"/>
      <c r="F236" s="96"/>
      <c r="G236" s="111">
        <f>1785677+27000</f>
        <v>1812677</v>
      </c>
      <c r="H236" s="111">
        <v>1899859</v>
      </c>
      <c r="I236" s="111">
        <v>1891744</v>
      </c>
      <c r="J236" s="273">
        <f t="shared" si="14"/>
        <v>0.995728630387834</v>
      </c>
    </row>
    <row r="237" spans="1:10" ht="15.75" customHeight="1">
      <c r="A237" s="287" t="s">
        <v>36</v>
      </c>
      <c r="B237" s="113"/>
      <c r="C237" s="452" t="s">
        <v>37</v>
      </c>
      <c r="D237" s="453"/>
      <c r="E237" s="454"/>
      <c r="F237" s="96"/>
      <c r="G237" s="112">
        <f>G238+G239</f>
        <v>36243441</v>
      </c>
      <c r="H237" s="112">
        <f>H238+H239</f>
        <v>37830241</v>
      </c>
      <c r="I237" s="112">
        <f>I238+I239</f>
        <v>37830241</v>
      </c>
      <c r="J237" s="271">
        <f t="shared" si="14"/>
        <v>1</v>
      </c>
    </row>
    <row r="238" spans="1:10" ht="15.75" customHeight="1">
      <c r="A238" s="283"/>
      <c r="B238" s="113" t="s">
        <v>234</v>
      </c>
      <c r="C238" s="87"/>
      <c r="D238" s="455" t="s">
        <v>371</v>
      </c>
      <c r="E238" s="456"/>
      <c r="F238" s="96"/>
      <c r="G238" s="110">
        <f>26678300+1860000</f>
        <v>28538300</v>
      </c>
      <c r="H238" s="110">
        <v>29968300</v>
      </c>
      <c r="I238" s="110">
        <v>29968300</v>
      </c>
      <c r="J238" s="273">
        <f t="shared" si="14"/>
        <v>1</v>
      </c>
    </row>
    <row r="239" spans="1:10" ht="15.75" customHeight="1">
      <c r="A239" s="283"/>
      <c r="B239" s="113" t="s">
        <v>235</v>
      </c>
      <c r="C239" s="87"/>
      <c r="D239" s="455" t="s">
        <v>236</v>
      </c>
      <c r="E239" s="456"/>
      <c r="F239" s="96"/>
      <c r="G239" s="110">
        <f>7203141+502000</f>
        <v>7705141</v>
      </c>
      <c r="H239" s="110">
        <f>7203141+502000+156800</f>
        <v>7861941</v>
      </c>
      <c r="I239" s="110">
        <f>7203141+502000+156800</f>
        <v>7861941</v>
      </c>
      <c r="J239" s="273">
        <f t="shared" si="14"/>
        <v>1</v>
      </c>
    </row>
    <row r="240" spans="1:10" ht="15.75" customHeight="1">
      <c r="A240" s="272"/>
      <c r="B240" s="96"/>
      <c r="C240" s="96"/>
      <c r="D240" s="96"/>
      <c r="E240" s="96"/>
      <c r="F240" s="96"/>
      <c r="G240" s="110"/>
      <c r="H240" s="110"/>
      <c r="I240" s="110"/>
      <c r="J240" s="292"/>
    </row>
    <row r="241" spans="1:10" ht="15.75" customHeight="1">
      <c r="A241" s="384" t="s">
        <v>248</v>
      </c>
      <c r="B241" s="385"/>
      <c r="C241" s="385"/>
      <c r="D241" s="385"/>
      <c r="E241" s="386"/>
      <c r="F241" s="114">
        <v>0.25</v>
      </c>
      <c r="G241" s="109">
        <f>G248+G260+G242+G246</f>
        <v>4970718.4</v>
      </c>
      <c r="H241" s="109">
        <f>H248+H260+H242+H246</f>
        <v>5051218</v>
      </c>
      <c r="I241" s="109">
        <f>I248+I260+I242+I246</f>
        <v>4211844</v>
      </c>
      <c r="J241" s="269">
        <f>I241/H241</f>
        <v>0.8338274055881175</v>
      </c>
    </row>
    <row r="242" spans="1:10" s="142" customFormat="1" ht="15.75" customHeight="1">
      <c r="A242" s="277" t="s">
        <v>23</v>
      </c>
      <c r="B242" s="148"/>
      <c r="C242" s="459" t="s">
        <v>150</v>
      </c>
      <c r="D242" s="460"/>
      <c r="E242" s="461"/>
      <c r="F242" s="164"/>
      <c r="G242" s="147">
        <f>SUM(G243)</f>
        <v>2009280</v>
      </c>
      <c r="H242" s="147">
        <f>SUM(H243)</f>
        <v>2089780</v>
      </c>
      <c r="I242" s="147">
        <f>SUM(I243)</f>
        <v>2068729</v>
      </c>
      <c r="J242" s="271">
        <f aca="true" t="shared" si="15" ref="J242:J261">I242/H242</f>
        <v>0.9899266908478405</v>
      </c>
    </row>
    <row r="243" spans="1:10" s="142" customFormat="1" ht="15.75" customHeight="1">
      <c r="A243" s="278"/>
      <c r="B243" s="93" t="s">
        <v>151</v>
      </c>
      <c r="C243" s="93"/>
      <c r="D243" s="437" t="s">
        <v>152</v>
      </c>
      <c r="E243" s="439"/>
      <c r="F243" s="164"/>
      <c r="G243" s="147">
        <f>SUM(G244)</f>
        <v>2009280</v>
      </c>
      <c r="H243" s="147">
        <f>SUM(H244:H245)</f>
        <v>2089780</v>
      </c>
      <c r="I243" s="147">
        <f>SUM(I244:I245)</f>
        <v>2068729</v>
      </c>
      <c r="J243" s="271">
        <f t="shared" si="15"/>
        <v>0.9899266908478405</v>
      </c>
    </row>
    <row r="244" spans="1:10" s="142" customFormat="1" ht="15.75" customHeight="1">
      <c r="A244" s="283"/>
      <c r="B244" s="96"/>
      <c r="C244" s="96" t="s">
        <v>153</v>
      </c>
      <c r="D244" s="435" t="s">
        <v>154</v>
      </c>
      <c r="E244" s="436"/>
      <c r="F244" s="164"/>
      <c r="G244" s="150">
        <f>1932000*1.04</f>
        <v>2009280</v>
      </c>
      <c r="H244" s="150">
        <v>2009280</v>
      </c>
      <c r="I244" s="150">
        <v>1988229</v>
      </c>
      <c r="J244" s="273">
        <f t="shared" si="15"/>
        <v>0.9895231127568084</v>
      </c>
    </row>
    <row r="245" spans="1:10" s="142" customFormat="1" ht="15.75" customHeight="1">
      <c r="A245" s="283"/>
      <c r="B245" s="96"/>
      <c r="C245" s="96" t="s">
        <v>311</v>
      </c>
      <c r="D245" s="435" t="s">
        <v>321</v>
      </c>
      <c r="E245" s="436"/>
      <c r="F245" s="164"/>
      <c r="G245" s="150">
        <v>0</v>
      </c>
      <c r="H245" s="150">
        <v>80500</v>
      </c>
      <c r="I245" s="150">
        <v>80500</v>
      </c>
      <c r="J245" s="273">
        <f t="shared" si="15"/>
        <v>1</v>
      </c>
    </row>
    <row r="246" spans="1:10" s="142" customFormat="1" ht="15.75" customHeight="1">
      <c r="A246" s="277" t="s">
        <v>25</v>
      </c>
      <c r="B246" s="148"/>
      <c r="C246" s="459" t="s">
        <v>166</v>
      </c>
      <c r="D246" s="460"/>
      <c r="E246" s="461"/>
      <c r="F246" s="164"/>
      <c r="G246" s="147">
        <f>SUM(G247)</f>
        <v>311438.4</v>
      </c>
      <c r="H246" s="147">
        <f>SUM(H247)</f>
        <v>311438</v>
      </c>
      <c r="I246" s="147">
        <f>SUM(I247)</f>
        <v>0</v>
      </c>
      <c r="J246" s="271">
        <f t="shared" si="15"/>
        <v>0</v>
      </c>
    </row>
    <row r="247" spans="1:10" s="142" customFormat="1" ht="15.75" customHeight="1">
      <c r="A247" s="278"/>
      <c r="B247" s="149"/>
      <c r="C247" s="149" t="s">
        <v>232</v>
      </c>
      <c r="D247" s="457" t="s">
        <v>167</v>
      </c>
      <c r="E247" s="458"/>
      <c r="F247" s="164"/>
      <c r="G247" s="150">
        <f>G244*0.155</f>
        <v>311438.4</v>
      </c>
      <c r="H247" s="150">
        <v>311438</v>
      </c>
      <c r="I247" s="150">
        <v>0</v>
      </c>
      <c r="J247" s="273">
        <f t="shared" si="15"/>
        <v>0</v>
      </c>
    </row>
    <row r="248" spans="1:10" ht="15.75" customHeight="1">
      <c r="A248" s="270" t="s">
        <v>27</v>
      </c>
      <c r="B248" s="93"/>
      <c r="C248" s="437" t="s">
        <v>28</v>
      </c>
      <c r="D248" s="438"/>
      <c r="E248" s="439"/>
      <c r="F248" s="96"/>
      <c r="G248" s="112">
        <f>G251+G254+G258+G249</f>
        <v>1650000</v>
      </c>
      <c r="H248" s="112">
        <f>H251+H254+H258+H249</f>
        <v>1650000</v>
      </c>
      <c r="I248" s="112">
        <f>I251+I254+I258+I249</f>
        <v>1156175</v>
      </c>
      <c r="J248" s="271">
        <f t="shared" si="15"/>
        <v>0.7007121212121212</v>
      </c>
    </row>
    <row r="249" spans="1:10" ht="15.75" customHeight="1">
      <c r="A249" s="270"/>
      <c r="B249" s="126"/>
      <c r="C249" s="98"/>
      <c r="D249" s="437" t="s">
        <v>170</v>
      </c>
      <c r="E249" s="439"/>
      <c r="F249" s="96"/>
      <c r="G249" s="112">
        <f>G250</f>
        <v>100000</v>
      </c>
      <c r="H249" s="112">
        <f>H250</f>
        <v>100000</v>
      </c>
      <c r="I249" s="112">
        <f>I250</f>
        <v>0</v>
      </c>
      <c r="J249" s="271">
        <f t="shared" si="15"/>
        <v>0</v>
      </c>
    </row>
    <row r="250" spans="1:10" ht="15.75" customHeight="1">
      <c r="A250" s="270"/>
      <c r="B250" s="93"/>
      <c r="C250" s="96" t="s">
        <v>171</v>
      </c>
      <c r="D250" s="435" t="s">
        <v>172</v>
      </c>
      <c r="E250" s="436"/>
      <c r="F250" s="96"/>
      <c r="G250" s="110">
        <v>100000</v>
      </c>
      <c r="H250" s="110">
        <v>100000</v>
      </c>
      <c r="I250" s="110">
        <v>0</v>
      </c>
      <c r="J250" s="273">
        <f t="shared" si="15"/>
        <v>0</v>
      </c>
    </row>
    <row r="251" spans="1:10" ht="15.75" customHeight="1">
      <c r="A251" s="275"/>
      <c r="B251" s="93" t="s">
        <v>177</v>
      </c>
      <c r="C251" s="102"/>
      <c r="D251" s="437" t="s">
        <v>178</v>
      </c>
      <c r="E251" s="439"/>
      <c r="F251" s="96"/>
      <c r="G251" s="112">
        <f>G253+G252</f>
        <v>420000</v>
      </c>
      <c r="H251" s="112">
        <f>H253+H252</f>
        <v>420000</v>
      </c>
      <c r="I251" s="112">
        <f>I253+I252</f>
        <v>291073</v>
      </c>
      <c r="J251" s="271">
        <f t="shared" si="15"/>
        <v>0.6930309523809524</v>
      </c>
    </row>
    <row r="252" spans="1:10" ht="15.75" customHeight="1">
      <c r="A252" s="275"/>
      <c r="B252" s="93"/>
      <c r="C252" s="96" t="s">
        <v>179</v>
      </c>
      <c r="D252" s="435" t="s">
        <v>180</v>
      </c>
      <c r="E252" s="436"/>
      <c r="F252" s="96"/>
      <c r="G252" s="110">
        <v>250000</v>
      </c>
      <c r="H252" s="110">
        <v>250000</v>
      </c>
      <c r="I252" s="110">
        <v>105185</v>
      </c>
      <c r="J252" s="273">
        <f t="shared" si="15"/>
        <v>0.42074</v>
      </c>
    </row>
    <row r="253" spans="1:10" ht="15.75" customHeight="1">
      <c r="A253" s="272"/>
      <c r="B253" s="96"/>
      <c r="C253" s="96" t="s">
        <v>181</v>
      </c>
      <c r="D253" s="435" t="s">
        <v>182</v>
      </c>
      <c r="E253" s="436"/>
      <c r="F253" s="96"/>
      <c r="G253" s="110">
        <v>170000</v>
      </c>
      <c r="H253" s="110">
        <v>170000</v>
      </c>
      <c r="I253" s="110">
        <v>185888</v>
      </c>
      <c r="J253" s="273">
        <f t="shared" si="15"/>
        <v>1.0934588235294118</v>
      </c>
    </row>
    <row r="254" spans="1:10" ht="15.75" customHeight="1">
      <c r="A254" s="275"/>
      <c r="B254" s="93" t="s">
        <v>183</v>
      </c>
      <c r="C254" s="102"/>
      <c r="D254" s="437" t="s">
        <v>184</v>
      </c>
      <c r="E254" s="439"/>
      <c r="F254" s="96"/>
      <c r="G254" s="112">
        <f>G255+G256+G257</f>
        <v>800000</v>
      </c>
      <c r="H254" s="112">
        <f>H255+H256+H257</f>
        <v>800000</v>
      </c>
      <c r="I254" s="112">
        <f>I255+I256+I257</f>
        <v>651636</v>
      </c>
      <c r="J254" s="271">
        <f t="shared" si="15"/>
        <v>0.814545</v>
      </c>
    </row>
    <row r="255" spans="1:10" ht="15.75" customHeight="1">
      <c r="A255" s="272"/>
      <c r="B255" s="96"/>
      <c r="C255" s="96" t="s">
        <v>185</v>
      </c>
      <c r="D255" s="435" t="s">
        <v>186</v>
      </c>
      <c r="E255" s="436"/>
      <c r="F255" s="96"/>
      <c r="G255" s="110">
        <v>600000</v>
      </c>
      <c r="H255" s="110">
        <v>600000</v>
      </c>
      <c r="I255" s="110">
        <v>485730</v>
      </c>
      <c r="J255" s="273">
        <f t="shared" si="15"/>
        <v>0.80955</v>
      </c>
    </row>
    <row r="256" spans="1:10" ht="15.75" customHeight="1">
      <c r="A256" s="272"/>
      <c r="B256" s="96"/>
      <c r="C256" s="96" t="s">
        <v>189</v>
      </c>
      <c r="D256" s="435" t="s">
        <v>190</v>
      </c>
      <c r="E256" s="436"/>
      <c r="F256" s="96"/>
      <c r="G256" s="110">
        <v>100000</v>
      </c>
      <c r="H256" s="110">
        <v>100000</v>
      </c>
      <c r="I256" s="110">
        <v>1600</v>
      </c>
      <c r="J256" s="273">
        <f t="shared" si="15"/>
        <v>0.016</v>
      </c>
    </row>
    <row r="257" spans="1:10" ht="15.75" customHeight="1">
      <c r="A257" s="272"/>
      <c r="B257" s="96"/>
      <c r="C257" s="96" t="s">
        <v>191</v>
      </c>
      <c r="D257" s="435" t="s">
        <v>192</v>
      </c>
      <c r="E257" s="436"/>
      <c r="F257" s="96"/>
      <c r="G257" s="110">
        <v>100000</v>
      </c>
      <c r="H257" s="110">
        <v>100000</v>
      </c>
      <c r="I257" s="110">
        <v>164306</v>
      </c>
      <c r="J257" s="273">
        <f t="shared" si="15"/>
        <v>1.64306</v>
      </c>
    </row>
    <row r="258" spans="1:10" ht="15.75" customHeight="1">
      <c r="A258" s="275"/>
      <c r="B258" s="93" t="s">
        <v>197</v>
      </c>
      <c r="C258" s="102"/>
      <c r="D258" s="437" t="s">
        <v>198</v>
      </c>
      <c r="E258" s="439"/>
      <c r="F258" s="96"/>
      <c r="G258" s="112">
        <f>SUM(G259)</f>
        <v>330000</v>
      </c>
      <c r="H258" s="112">
        <f>SUM(H259)</f>
        <v>330000</v>
      </c>
      <c r="I258" s="112">
        <f>SUM(I259)</f>
        <v>213466</v>
      </c>
      <c r="J258" s="271">
        <f t="shared" si="15"/>
        <v>0.6468666666666667</v>
      </c>
    </row>
    <row r="259" spans="1:10" ht="15.75" customHeight="1">
      <c r="A259" s="272"/>
      <c r="B259" s="96"/>
      <c r="C259" s="96" t="s">
        <v>199</v>
      </c>
      <c r="D259" s="435" t="s">
        <v>200</v>
      </c>
      <c r="E259" s="436"/>
      <c r="F259" s="96"/>
      <c r="G259" s="110">
        <v>330000</v>
      </c>
      <c r="H259" s="110">
        <v>330000</v>
      </c>
      <c r="I259" s="110">
        <v>213466</v>
      </c>
      <c r="J259" s="273">
        <f t="shared" si="15"/>
        <v>0.6468666666666667</v>
      </c>
    </row>
    <row r="260" spans="1:10" ht="15.75" customHeight="1">
      <c r="A260" s="270" t="s">
        <v>31</v>
      </c>
      <c r="B260" s="93"/>
      <c r="C260" s="437" t="s">
        <v>32</v>
      </c>
      <c r="D260" s="438"/>
      <c r="E260" s="439"/>
      <c r="F260" s="96"/>
      <c r="G260" s="112">
        <f>SUM(G261)</f>
        <v>1000000</v>
      </c>
      <c r="H260" s="112">
        <f>SUM(H261)</f>
        <v>1000000</v>
      </c>
      <c r="I260" s="112">
        <f>SUM(I261)</f>
        <v>986940</v>
      </c>
      <c r="J260" s="271">
        <f t="shared" si="15"/>
        <v>0.98694</v>
      </c>
    </row>
    <row r="261" spans="1:10" ht="15.75" customHeight="1">
      <c r="A261" s="272"/>
      <c r="B261" s="96"/>
      <c r="C261" s="96" t="s">
        <v>202</v>
      </c>
      <c r="D261" s="435" t="s">
        <v>332</v>
      </c>
      <c r="E261" s="436"/>
      <c r="F261" s="96"/>
      <c r="G261" s="111">
        <v>1000000</v>
      </c>
      <c r="H261" s="111">
        <v>1000000</v>
      </c>
      <c r="I261" s="111">
        <v>986940</v>
      </c>
      <c r="J261" s="273">
        <f t="shared" si="15"/>
        <v>0.98694</v>
      </c>
    </row>
    <row r="262" spans="1:10" ht="15.75" customHeight="1">
      <c r="A262" s="272"/>
      <c r="B262" s="96"/>
      <c r="C262" s="96"/>
      <c r="D262" s="96"/>
      <c r="E262" s="96"/>
      <c r="F262" s="96"/>
      <c r="G262" s="110"/>
      <c r="H262" s="110"/>
      <c r="I262" s="110"/>
      <c r="J262" s="292"/>
    </row>
    <row r="263" spans="1:10" ht="15.75" customHeight="1">
      <c r="A263" s="384" t="s">
        <v>108</v>
      </c>
      <c r="B263" s="385"/>
      <c r="C263" s="385"/>
      <c r="D263" s="385"/>
      <c r="E263" s="386"/>
      <c r="F263" s="107"/>
      <c r="G263" s="109">
        <f>G264+G273</f>
        <v>3160000</v>
      </c>
      <c r="H263" s="109">
        <f>H264+H273</f>
        <v>3160000</v>
      </c>
      <c r="I263" s="109">
        <f>I264+I273</f>
        <v>3097800</v>
      </c>
      <c r="J263" s="269">
        <f>I263/H263</f>
        <v>0.9803164556962025</v>
      </c>
    </row>
    <row r="264" spans="1:10" ht="15.75" customHeight="1">
      <c r="A264" s="270" t="s">
        <v>27</v>
      </c>
      <c r="B264" s="93"/>
      <c r="C264" s="437" t="s">
        <v>28</v>
      </c>
      <c r="D264" s="438"/>
      <c r="E264" s="439"/>
      <c r="F264" s="96"/>
      <c r="G264" s="112">
        <f>G267+G271+G265</f>
        <v>660000</v>
      </c>
      <c r="H264" s="112">
        <f>H267+H271+H265</f>
        <v>660000</v>
      </c>
      <c r="I264" s="112">
        <f>I267+I271+I265</f>
        <v>597800</v>
      </c>
      <c r="J264" s="271">
        <f aca="true" t="shared" si="16" ref="J264:J274">I264/H264</f>
        <v>0.9057575757575758</v>
      </c>
    </row>
    <row r="265" spans="1:10" ht="15.75" customHeight="1">
      <c r="A265" s="275"/>
      <c r="B265" s="93" t="s">
        <v>177</v>
      </c>
      <c r="C265" s="102"/>
      <c r="D265" s="437" t="s">
        <v>178</v>
      </c>
      <c r="E265" s="439"/>
      <c r="F265" s="96"/>
      <c r="G265" s="112">
        <f>G266</f>
        <v>20000</v>
      </c>
      <c r="H265" s="112">
        <f>H266</f>
        <v>20000</v>
      </c>
      <c r="I265" s="112">
        <f>I266</f>
        <v>0</v>
      </c>
      <c r="J265" s="271">
        <f t="shared" si="16"/>
        <v>0</v>
      </c>
    </row>
    <row r="266" spans="1:10" ht="15.75" customHeight="1">
      <c r="A266" s="272"/>
      <c r="B266" s="96"/>
      <c r="C266" s="96" t="s">
        <v>181</v>
      </c>
      <c r="D266" s="435" t="s">
        <v>182</v>
      </c>
      <c r="E266" s="436"/>
      <c r="F266" s="96"/>
      <c r="G266" s="110">
        <v>20000</v>
      </c>
      <c r="H266" s="110">
        <v>20000</v>
      </c>
      <c r="I266" s="110">
        <v>0</v>
      </c>
      <c r="J266" s="273">
        <f t="shared" si="16"/>
        <v>0</v>
      </c>
    </row>
    <row r="267" spans="1:10" ht="15.75" customHeight="1">
      <c r="A267" s="275"/>
      <c r="B267" s="93" t="s">
        <v>183</v>
      </c>
      <c r="C267" s="102"/>
      <c r="D267" s="437" t="s">
        <v>184</v>
      </c>
      <c r="E267" s="439"/>
      <c r="F267" s="96"/>
      <c r="G267" s="112">
        <f>G268+G269+G270</f>
        <v>500000</v>
      </c>
      <c r="H267" s="112">
        <f>H268+H269+H270</f>
        <v>500000</v>
      </c>
      <c r="I267" s="112">
        <f>I268+I269+I270</f>
        <v>474393</v>
      </c>
      <c r="J267" s="271">
        <f t="shared" si="16"/>
        <v>0.948786</v>
      </c>
    </row>
    <row r="268" spans="1:10" ht="15.75" customHeight="1">
      <c r="A268" s="272"/>
      <c r="B268" s="96"/>
      <c r="C268" s="96" t="s">
        <v>185</v>
      </c>
      <c r="D268" s="435" t="s">
        <v>186</v>
      </c>
      <c r="E268" s="436"/>
      <c r="F268" s="96"/>
      <c r="G268" s="110">
        <v>400000</v>
      </c>
      <c r="H268" s="110">
        <v>400000</v>
      </c>
      <c r="I268" s="110">
        <v>457540</v>
      </c>
      <c r="J268" s="273">
        <f t="shared" si="16"/>
        <v>1.14385</v>
      </c>
    </row>
    <row r="269" spans="1:10" ht="15.75" customHeight="1">
      <c r="A269" s="272"/>
      <c r="B269" s="96"/>
      <c r="C269" s="96" t="s">
        <v>189</v>
      </c>
      <c r="D269" s="435" t="s">
        <v>190</v>
      </c>
      <c r="E269" s="436"/>
      <c r="F269" s="96"/>
      <c r="G269" s="110">
        <v>50000</v>
      </c>
      <c r="H269" s="110">
        <v>50000</v>
      </c>
      <c r="I269" s="110">
        <v>16853</v>
      </c>
      <c r="J269" s="273">
        <f t="shared" si="16"/>
        <v>0.33706</v>
      </c>
    </row>
    <row r="270" spans="1:10" ht="15.75" customHeight="1">
      <c r="A270" s="272"/>
      <c r="B270" s="96"/>
      <c r="C270" s="96" t="s">
        <v>191</v>
      </c>
      <c r="D270" s="96" t="s">
        <v>192</v>
      </c>
      <c r="E270" s="96"/>
      <c r="F270" s="96"/>
      <c r="G270" s="110">
        <v>50000</v>
      </c>
      <c r="H270" s="110">
        <v>50000</v>
      </c>
      <c r="I270" s="110">
        <v>0</v>
      </c>
      <c r="J270" s="273">
        <f t="shared" si="16"/>
        <v>0</v>
      </c>
    </row>
    <row r="271" spans="1:10" ht="15.75" customHeight="1">
      <c r="A271" s="275"/>
      <c r="B271" s="93" t="s">
        <v>197</v>
      </c>
      <c r="C271" s="102"/>
      <c r="D271" s="93" t="s">
        <v>198</v>
      </c>
      <c r="E271" s="102"/>
      <c r="F271" s="96"/>
      <c r="G271" s="112">
        <f>SUM(G272)</f>
        <v>140000</v>
      </c>
      <c r="H271" s="112">
        <f>SUM(H272)</f>
        <v>140000</v>
      </c>
      <c r="I271" s="112">
        <f>SUM(I272)</f>
        <v>123407</v>
      </c>
      <c r="J271" s="271">
        <f t="shared" si="16"/>
        <v>0.8814785714285714</v>
      </c>
    </row>
    <row r="272" spans="1:10" ht="15.75" customHeight="1">
      <c r="A272" s="272"/>
      <c r="B272" s="96"/>
      <c r="C272" s="96" t="s">
        <v>199</v>
      </c>
      <c r="D272" s="96" t="s">
        <v>200</v>
      </c>
      <c r="E272" s="96"/>
      <c r="F272" s="96"/>
      <c r="G272" s="110">
        <v>140000</v>
      </c>
      <c r="H272" s="110">
        <v>140000</v>
      </c>
      <c r="I272" s="110">
        <v>123407</v>
      </c>
      <c r="J272" s="273">
        <f t="shared" si="16"/>
        <v>0.8814785714285714</v>
      </c>
    </row>
    <row r="273" spans="1:10" ht="15.75" customHeight="1">
      <c r="A273" s="270" t="s">
        <v>31</v>
      </c>
      <c r="B273" s="93"/>
      <c r="C273" s="93" t="s">
        <v>32</v>
      </c>
      <c r="D273" s="93"/>
      <c r="E273" s="93"/>
      <c r="F273" s="96"/>
      <c r="G273" s="112">
        <f>SUM(G274)</f>
        <v>2500000</v>
      </c>
      <c r="H273" s="112">
        <f>SUM(H274)</f>
        <v>2500000</v>
      </c>
      <c r="I273" s="112">
        <f>SUM(I274)</f>
        <v>2500000</v>
      </c>
      <c r="J273" s="271">
        <f t="shared" si="16"/>
        <v>1</v>
      </c>
    </row>
    <row r="274" spans="1:10" ht="15.75" customHeight="1">
      <c r="A274" s="272"/>
      <c r="B274" s="96"/>
      <c r="C274" s="96" t="s">
        <v>202</v>
      </c>
      <c r="D274" s="96" t="s">
        <v>203</v>
      </c>
      <c r="E274" s="96"/>
      <c r="F274" s="96"/>
      <c r="G274" s="110">
        <v>2500000</v>
      </c>
      <c r="H274" s="110">
        <v>2500000</v>
      </c>
      <c r="I274" s="110">
        <v>2500000</v>
      </c>
      <c r="J274" s="273">
        <f t="shared" si="16"/>
        <v>1</v>
      </c>
    </row>
    <row r="275" spans="1:10" ht="15.75" customHeight="1">
      <c r="A275" s="272"/>
      <c r="B275" s="96"/>
      <c r="C275" s="96"/>
      <c r="D275" s="96"/>
      <c r="E275" s="96"/>
      <c r="F275" s="96"/>
      <c r="G275" s="110"/>
      <c r="H275" s="110"/>
      <c r="I275" s="110"/>
      <c r="J275" s="292"/>
    </row>
    <row r="276" spans="1:10" ht="15.75" customHeight="1">
      <c r="A276" s="384" t="s">
        <v>109</v>
      </c>
      <c r="B276" s="385"/>
      <c r="C276" s="385"/>
      <c r="D276" s="385"/>
      <c r="E276" s="386"/>
      <c r="F276" s="114">
        <v>1</v>
      </c>
      <c r="G276" s="109">
        <f>G277+G286+G289</f>
        <v>9470356.525</v>
      </c>
      <c r="H276" s="109">
        <f>H277+H286+H289+H305</f>
        <v>9493707</v>
      </c>
      <c r="I276" s="109">
        <f>I277+I286+I289+I305</f>
        <v>9136195</v>
      </c>
      <c r="J276" s="269">
        <f>I276/H276</f>
        <v>0.9623422125835567</v>
      </c>
    </row>
    <row r="277" spans="1:10" ht="15.75" customHeight="1">
      <c r="A277" s="270" t="s">
        <v>23</v>
      </c>
      <c r="B277" s="93"/>
      <c r="C277" s="437" t="s">
        <v>150</v>
      </c>
      <c r="D277" s="438"/>
      <c r="E277" s="439"/>
      <c r="F277" s="96"/>
      <c r="G277" s="112">
        <f>G278+G284</f>
        <v>6920655</v>
      </c>
      <c r="H277" s="112">
        <f>H278+H284</f>
        <v>6675515</v>
      </c>
      <c r="I277" s="112">
        <f>I278+I284</f>
        <v>6663320</v>
      </c>
      <c r="J277" s="271">
        <f aca="true" t="shared" si="17" ref="J277:J307">I277/H277</f>
        <v>0.9981731746539405</v>
      </c>
    </row>
    <row r="278" spans="1:10" ht="15.75" customHeight="1">
      <c r="A278" s="272"/>
      <c r="B278" s="93" t="s">
        <v>151</v>
      </c>
      <c r="C278" s="93"/>
      <c r="D278" s="437" t="s">
        <v>152</v>
      </c>
      <c r="E278" s="439"/>
      <c r="F278" s="96"/>
      <c r="G278" s="112">
        <f>SUM(G279:G283)</f>
        <v>6865515</v>
      </c>
      <c r="H278" s="112">
        <f>SUM(H279:H283)</f>
        <v>6675515</v>
      </c>
      <c r="I278" s="112">
        <f>SUM(I279:I283)</f>
        <v>6663320</v>
      </c>
      <c r="J278" s="271">
        <f t="shared" si="17"/>
        <v>0.9981731746539405</v>
      </c>
    </row>
    <row r="279" spans="1:10" ht="15.75" customHeight="1">
      <c r="A279" s="283"/>
      <c r="B279" s="96"/>
      <c r="C279" s="96" t="s">
        <v>153</v>
      </c>
      <c r="D279" s="435" t="s">
        <v>154</v>
      </c>
      <c r="E279" s="436"/>
      <c r="F279" s="96"/>
      <c r="G279" s="110">
        <v>6317568</v>
      </c>
      <c r="H279" s="110">
        <v>6317568</v>
      </c>
      <c r="I279" s="110">
        <v>6305622</v>
      </c>
      <c r="J279" s="273">
        <f t="shared" si="17"/>
        <v>0.998109082482373</v>
      </c>
    </row>
    <row r="280" spans="1:10" ht="15.75" customHeight="1">
      <c r="A280" s="283"/>
      <c r="B280" s="96"/>
      <c r="C280" s="96" t="s">
        <v>311</v>
      </c>
      <c r="D280" s="435" t="s">
        <v>321</v>
      </c>
      <c r="E280" s="436"/>
      <c r="F280" s="96"/>
      <c r="G280" s="110">
        <f>254034</f>
        <v>254034</v>
      </c>
      <c r="H280" s="110">
        <f>150034</f>
        <v>150034</v>
      </c>
      <c r="I280" s="110">
        <v>150000</v>
      </c>
      <c r="J280" s="273">
        <f t="shared" si="17"/>
        <v>0.9997733846994681</v>
      </c>
    </row>
    <row r="281" spans="1:10" ht="15.75" customHeight="1">
      <c r="A281" s="272"/>
      <c r="B281" s="96"/>
      <c r="C281" s="96" t="s">
        <v>155</v>
      </c>
      <c r="D281" s="435" t="s">
        <v>156</v>
      </c>
      <c r="E281" s="436"/>
      <c r="F281" s="96"/>
      <c r="G281" s="110">
        <v>173913</v>
      </c>
      <c r="H281" s="110">
        <v>173913</v>
      </c>
      <c r="I281" s="110">
        <v>173913</v>
      </c>
      <c r="J281" s="273">
        <f t="shared" si="17"/>
        <v>1</v>
      </c>
    </row>
    <row r="282" spans="1:10" ht="15.75" customHeight="1">
      <c r="A282" s="272"/>
      <c r="B282" s="96"/>
      <c r="C282" s="96" t="s">
        <v>250</v>
      </c>
      <c r="D282" s="435" t="s">
        <v>251</v>
      </c>
      <c r="E282" s="436"/>
      <c r="F282" s="96"/>
      <c r="G282" s="110">
        <v>120000</v>
      </c>
      <c r="H282" s="110">
        <v>20000</v>
      </c>
      <c r="I282" s="110">
        <v>20000</v>
      </c>
      <c r="J282" s="273">
        <f t="shared" si="17"/>
        <v>1</v>
      </c>
    </row>
    <row r="283" spans="1:10" ht="15.75" customHeight="1">
      <c r="A283" s="272"/>
      <c r="B283" s="96"/>
      <c r="C283" s="95" t="s">
        <v>218</v>
      </c>
      <c r="D283" s="435" t="s">
        <v>152</v>
      </c>
      <c r="E283" s="436"/>
      <c r="F283" s="96"/>
      <c r="G283" s="110"/>
      <c r="H283" s="110">
        <v>14000</v>
      </c>
      <c r="I283" s="110">
        <v>13785</v>
      </c>
      <c r="J283" s="273">
        <f t="shared" si="17"/>
        <v>0.9846428571428572</v>
      </c>
    </row>
    <row r="284" spans="1:10" ht="15.75" customHeight="1">
      <c r="A284" s="270"/>
      <c r="B284" s="93" t="s">
        <v>157</v>
      </c>
      <c r="C284" s="92"/>
      <c r="D284" s="437" t="s">
        <v>252</v>
      </c>
      <c r="E284" s="439"/>
      <c r="F284" s="93"/>
      <c r="G284" s="112">
        <f>G285</f>
        <v>55140</v>
      </c>
      <c r="H284" s="112">
        <f>H285</f>
        <v>0</v>
      </c>
      <c r="I284" s="112">
        <f>I285</f>
        <v>0</v>
      </c>
      <c r="J284" s="273"/>
    </row>
    <row r="285" spans="1:10" ht="15.75" customHeight="1">
      <c r="A285" s="272"/>
      <c r="B285" s="96"/>
      <c r="C285" s="95" t="s">
        <v>245</v>
      </c>
      <c r="D285" s="435" t="s">
        <v>253</v>
      </c>
      <c r="E285" s="436"/>
      <c r="F285" s="96"/>
      <c r="G285" s="110">
        <v>55140</v>
      </c>
      <c r="H285" s="110">
        <v>0</v>
      </c>
      <c r="I285" s="110">
        <v>0</v>
      </c>
      <c r="J285" s="273"/>
    </row>
    <row r="286" spans="1:10" ht="15.75" customHeight="1">
      <c r="A286" s="270" t="s">
        <v>25</v>
      </c>
      <c r="B286" s="93"/>
      <c r="C286" s="437" t="s">
        <v>166</v>
      </c>
      <c r="D286" s="438"/>
      <c r="E286" s="439"/>
      <c r="F286" s="96"/>
      <c r="G286" s="112">
        <f>SUM(G287:G288)</f>
        <v>1072701.525</v>
      </c>
      <c r="H286" s="112">
        <f>SUM(H287:H288)</f>
        <v>1072702</v>
      </c>
      <c r="I286" s="112">
        <f>SUM(I287:I288)</f>
        <v>1033281</v>
      </c>
      <c r="J286" s="271">
        <f t="shared" si="17"/>
        <v>0.9632507443819439</v>
      </c>
    </row>
    <row r="287" spans="1:10" ht="15.75" customHeight="1">
      <c r="A287" s="272"/>
      <c r="B287" s="96"/>
      <c r="C287" s="96"/>
      <c r="D287" s="450" t="s">
        <v>167</v>
      </c>
      <c r="E287" s="451"/>
      <c r="F287" s="96"/>
      <c r="G287" s="110">
        <f>(G278+G284)*0.155</f>
        <v>1072701.525</v>
      </c>
      <c r="H287" s="110">
        <v>1072702</v>
      </c>
      <c r="I287" s="110">
        <v>1033281</v>
      </c>
      <c r="J287" s="273">
        <f t="shared" si="17"/>
        <v>0.9632507443819439</v>
      </c>
    </row>
    <row r="288" spans="1:10" ht="15.75" customHeight="1">
      <c r="A288" s="272"/>
      <c r="B288" s="96"/>
      <c r="C288" s="96"/>
      <c r="D288" s="450" t="s">
        <v>168</v>
      </c>
      <c r="E288" s="451"/>
      <c r="F288" s="96"/>
      <c r="G288" s="110"/>
      <c r="H288" s="110"/>
      <c r="I288" s="110"/>
      <c r="J288" s="273"/>
    </row>
    <row r="289" spans="1:10" ht="15.75" customHeight="1">
      <c r="A289" s="270" t="s">
        <v>27</v>
      </c>
      <c r="B289" s="93"/>
      <c r="C289" s="437" t="s">
        <v>28</v>
      </c>
      <c r="D289" s="438"/>
      <c r="E289" s="439"/>
      <c r="F289" s="96"/>
      <c r="G289" s="112">
        <f>G290+G293+G296+G300+G302</f>
        <v>1477000</v>
      </c>
      <c r="H289" s="112">
        <f>H290+H293+H296+H300+H302</f>
        <v>1735500</v>
      </c>
      <c r="I289" s="112">
        <f>I290+I293+I296+I300+I302</f>
        <v>1429604</v>
      </c>
      <c r="J289" s="271">
        <f t="shared" si="17"/>
        <v>0.8237418611351196</v>
      </c>
    </row>
    <row r="290" spans="1:10" ht="15.75" customHeight="1">
      <c r="A290" s="275"/>
      <c r="B290" s="93" t="s">
        <v>169</v>
      </c>
      <c r="C290" s="102"/>
      <c r="D290" s="437" t="s">
        <v>170</v>
      </c>
      <c r="E290" s="439"/>
      <c r="F290" s="96"/>
      <c r="G290" s="112">
        <f>G291+G292</f>
        <v>220000</v>
      </c>
      <c r="H290" s="112">
        <f>H291+H292</f>
        <v>220000</v>
      </c>
      <c r="I290" s="112">
        <f>I291+I292</f>
        <v>61221</v>
      </c>
      <c r="J290" s="271">
        <f t="shared" si="17"/>
        <v>0.2782772727272727</v>
      </c>
    </row>
    <row r="291" spans="1:10" ht="15.75" customHeight="1">
      <c r="A291" s="272"/>
      <c r="B291" s="96"/>
      <c r="C291" s="96" t="s">
        <v>171</v>
      </c>
      <c r="D291" s="435" t="s">
        <v>172</v>
      </c>
      <c r="E291" s="436"/>
      <c r="F291" s="96"/>
      <c r="G291" s="110">
        <v>100000</v>
      </c>
      <c r="H291" s="110">
        <v>100000</v>
      </c>
      <c r="I291" s="110">
        <v>0</v>
      </c>
      <c r="J291" s="273">
        <f t="shared" si="17"/>
        <v>0</v>
      </c>
    </row>
    <row r="292" spans="1:10" ht="15.75" customHeight="1">
      <c r="A292" s="272"/>
      <c r="B292" s="96"/>
      <c r="C292" s="96" t="s">
        <v>174</v>
      </c>
      <c r="D292" s="435" t="s">
        <v>175</v>
      </c>
      <c r="E292" s="436"/>
      <c r="F292" s="96"/>
      <c r="G292" s="110">
        <v>120000</v>
      </c>
      <c r="H292" s="110">
        <v>120000</v>
      </c>
      <c r="I292" s="110">
        <v>61221</v>
      </c>
      <c r="J292" s="273">
        <f t="shared" si="17"/>
        <v>0.510175</v>
      </c>
    </row>
    <row r="293" spans="1:10" ht="15.75" customHeight="1">
      <c r="A293" s="275"/>
      <c r="B293" s="93" t="s">
        <v>177</v>
      </c>
      <c r="C293" s="102"/>
      <c r="D293" s="437" t="s">
        <v>178</v>
      </c>
      <c r="E293" s="439"/>
      <c r="F293" s="96"/>
      <c r="G293" s="112">
        <f>G294+G295</f>
        <v>320000</v>
      </c>
      <c r="H293" s="112">
        <f>H294+H295</f>
        <v>320000</v>
      </c>
      <c r="I293" s="112">
        <f>I294+I295</f>
        <v>279703</v>
      </c>
      <c r="J293" s="271">
        <f t="shared" si="17"/>
        <v>0.874071875</v>
      </c>
    </row>
    <row r="294" spans="1:10" ht="15.75" customHeight="1">
      <c r="A294" s="272"/>
      <c r="B294" s="96"/>
      <c r="C294" s="96" t="s">
        <v>179</v>
      </c>
      <c r="D294" s="435" t="s">
        <v>180</v>
      </c>
      <c r="E294" s="436"/>
      <c r="F294" s="96"/>
      <c r="G294" s="110">
        <v>20000</v>
      </c>
      <c r="H294" s="110">
        <v>20000</v>
      </c>
      <c r="I294" s="110">
        <v>21141</v>
      </c>
      <c r="J294" s="273">
        <f t="shared" si="17"/>
        <v>1.05705</v>
      </c>
    </row>
    <row r="295" spans="1:10" ht="15.75" customHeight="1">
      <c r="A295" s="272"/>
      <c r="B295" s="96"/>
      <c r="C295" s="96" t="s">
        <v>181</v>
      </c>
      <c r="D295" s="435" t="s">
        <v>182</v>
      </c>
      <c r="E295" s="436"/>
      <c r="F295" s="96"/>
      <c r="G295" s="110">
        <v>300000</v>
      </c>
      <c r="H295" s="110">
        <v>300000</v>
      </c>
      <c r="I295" s="110">
        <v>258562</v>
      </c>
      <c r="J295" s="273">
        <f t="shared" si="17"/>
        <v>0.8618733333333334</v>
      </c>
    </row>
    <row r="296" spans="1:10" ht="15.75" customHeight="1">
      <c r="A296" s="275"/>
      <c r="B296" s="93" t="s">
        <v>183</v>
      </c>
      <c r="C296" s="102"/>
      <c r="D296" s="437" t="s">
        <v>184</v>
      </c>
      <c r="E296" s="439"/>
      <c r="F296" s="96"/>
      <c r="G296" s="112">
        <f>G297+G298+G299</f>
        <v>630000</v>
      </c>
      <c r="H296" s="112">
        <f>H297+H298+H299</f>
        <v>888000</v>
      </c>
      <c r="I296" s="112">
        <f>I297+I298+I299</f>
        <v>795580</v>
      </c>
      <c r="J296" s="271">
        <f t="shared" si="17"/>
        <v>0.8959234234234235</v>
      </c>
    </row>
    <row r="297" spans="1:10" ht="15.75" customHeight="1">
      <c r="A297" s="272"/>
      <c r="B297" s="96"/>
      <c r="C297" s="96" t="s">
        <v>185</v>
      </c>
      <c r="D297" s="435" t="s">
        <v>186</v>
      </c>
      <c r="E297" s="436"/>
      <c r="F297" s="96"/>
      <c r="G297" s="110">
        <v>300000</v>
      </c>
      <c r="H297" s="110">
        <v>300000</v>
      </c>
      <c r="I297" s="110">
        <v>251002</v>
      </c>
      <c r="J297" s="273">
        <f t="shared" si="17"/>
        <v>0.8366733333333334</v>
      </c>
    </row>
    <row r="298" spans="1:10" ht="15.75" customHeight="1">
      <c r="A298" s="272"/>
      <c r="B298" s="96"/>
      <c r="C298" s="96" t="s">
        <v>189</v>
      </c>
      <c r="D298" s="435" t="s">
        <v>190</v>
      </c>
      <c r="E298" s="436"/>
      <c r="F298" s="96"/>
      <c r="G298" s="110">
        <v>50000</v>
      </c>
      <c r="H298" s="110">
        <v>50000</v>
      </c>
      <c r="I298" s="110">
        <v>7269</v>
      </c>
      <c r="J298" s="273">
        <f t="shared" si="17"/>
        <v>0.14538</v>
      </c>
    </row>
    <row r="299" spans="1:10" ht="15.75" customHeight="1">
      <c r="A299" s="272"/>
      <c r="B299" s="96"/>
      <c r="C299" s="96" t="s">
        <v>191</v>
      </c>
      <c r="D299" s="435" t="s">
        <v>192</v>
      </c>
      <c r="E299" s="436"/>
      <c r="F299" s="96"/>
      <c r="G299" s="110">
        <v>280000</v>
      </c>
      <c r="H299" s="110">
        <v>538000</v>
      </c>
      <c r="I299" s="110">
        <v>537309</v>
      </c>
      <c r="J299" s="273">
        <f t="shared" si="17"/>
        <v>0.9987156133828996</v>
      </c>
    </row>
    <row r="300" spans="1:10" ht="15.75" customHeight="1">
      <c r="A300" s="275"/>
      <c r="B300" s="93" t="s">
        <v>193</v>
      </c>
      <c r="C300" s="102"/>
      <c r="D300" s="437" t="s">
        <v>194</v>
      </c>
      <c r="E300" s="439"/>
      <c r="F300" s="96"/>
      <c r="G300" s="112">
        <f>G301</f>
        <v>10000</v>
      </c>
      <c r="H300" s="112">
        <f>H301</f>
        <v>10000</v>
      </c>
      <c r="I300" s="112">
        <f>I301</f>
        <v>0</v>
      </c>
      <c r="J300" s="271">
        <f t="shared" si="17"/>
        <v>0</v>
      </c>
    </row>
    <row r="301" spans="1:10" ht="15.75" customHeight="1">
      <c r="A301" s="272"/>
      <c r="B301" s="96"/>
      <c r="C301" s="96" t="s">
        <v>195</v>
      </c>
      <c r="D301" s="435" t="s">
        <v>196</v>
      </c>
      <c r="E301" s="436"/>
      <c r="F301" s="96"/>
      <c r="G301" s="110">
        <v>10000</v>
      </c>
      <c r="H301" s="110">
        <v>10000</v>
      </c>
      <c r="I301" s="110">
        <v>0</v>
      </c>
      <c r="J301" s="273">
        <f t="shared" si="17"/>
        <v>0</v>
      </c>
    </row>
    <row r="302" spans="1:10" ht="15.75" customHeight="1">
      <c r="A302" s="275"/>
      <c r="B302" s="93" t="s">
        <v>197</v>
      </c>
      <c r="C302" s="102"/>
      <c r="D302" s="437" t="s">
        <v>198</v>
      </c>
      <c r="E302" s="439"/>
      <c r="F302" s="96"/>
      <c r="G302" s="112">
        <f>G303</f>
        <v>297000</v>
      </c>
      <c r="H302" s="112">
        <f>H303+H304</f>
        <v>297500</v>
      </c>
      <c r="I302" s="112">
        <f>I303+I304</f>
        <v>293100</v>
      </c>
      <c r="J302" s="271">
        <f t="shared" si="17"/>
        <v>0.9852100840336134</v>
      </c>
    </row>
    <row r="303" spans="1:10" ht="15.75" customHeight="1">
      <c r="A303" s="272"/>
      <c r="B303" s="96"/>
      <c r="C303" s="96" t="s">
        <v>199</v>
      </c>
      <c r="D303" s="435" t="s">
        <v>200</v>
      </c>
      <c r="E303" s="436"/>
      <c r="F303" s="96"/>
      <c r="G303" s="110">
        <v>297000</v>
      </c>
      <c r="H303" s="110">
        <v>297000</v>
      </c>
      <c r="I303" s="110">
        <v>292600</v>
      </c>
      <c r="J303" s="273">
        <f t="shared" si="17"/>
        <v>0.9851851851851852</v>
      </c>
    </row>
    <row r="304" spans="1:10" ht="15.75" customHeight="1">
      <c r="A304" s="272"/>
      <c r="B304" s="96"/>
      <c r="C304" s="96" t="s">
        <v>347</v>
      </c>
      <c r="D304" s="435" t="s">
        <v>348</v>
      </c>
      <c r="E304" s="436"/>
      <c r="F304" s="96"/>
      <c r="G304" s="110">
        <v>0</v>
      </c>
      <c r="H304" s="110">
        <v>500</v>
      </c>
      <c r="I304" s="110">
        <v>500</v>
      </c>
      <c r="J304" s="273">
        <f t="shared" si="17"/>
        <v>1</v>
      </c>
    </row>
    <row r="305" spans="1:10" ht="15.75" customHeight="1">
      <c r="A305" s="276" t="s">
        <v>34</v>
      </c>
      <c r="B305" s="96"/>
      <c r="C305" s="437" t="s">
        <v>35</v>
      </c>
      <c r="D305" s="438"/>
      <c r="E305" s="439"/>
      <c r="F305" s="96"/>
      <c r="G305" s="112">
        <f>SUM(G306:G307)</f>
        <v>0</v>
      </c>
      <c r="H305" s="112">
        <f>SUM(H306:H307)</f>
        <v>9990</v>
      </c>
      <c r="I305" s="112">
        <f>SUM(I306:I307)</f>
        <v>9990</v>
      </c>
      <c r="J305" s="271">
        <f t="shared" si="17"/>
        <v>1</v>
      </c>
    </row>
    <row r="306" spans="1:10" ht="15.75" customHeight="1">
      <c r="A306" s="272"/>
      <c r="B306" s="93" t="s">
        <v>318</v>
      </c>
      <c r="C306" s="96"/>
      <c r="D306" s="435" t="s">
        <v>317</v>
      </c>
      <c r="E306" s="436"/>
      <c r="F306" s="96"/>
      <c r="G306" s="110">
        <v>0</v>
      </c>
      <c r="H306" s="110">
        <v>7866</v>
      </c>
      <c r="I306" s="110">
        <v>7866</v>
      </c>
      <c r="J306" s="273">
        <f t="shared" si="17"/>
        <v>1</v>
      </c>
    </row>
    <row r="307" spans="1:10" ht="15.75" customHeight="1">
      <c r="A307" s="272"/>
      <c r="B307" s="93" t="s">
        <v>225</v>
      </c>
      <c r="C307" s="96"/>
      <c r="D307" s="435" t="s">
        <v>226</v>
      </c>
      <c r="E307" s="436"/>
      <c r="F307" s="96"/>
      <c r="G307" s="110">
        <v>0</v>
      </c>
      <c r="H307" s="110">
        <v>2124</v>
      </c>
      <c r="I307" s="110">
        <v>2124</v>
      </c>
      <c r="J307" s="273">
        <f t="shared" si="17"/>
        <v>1</v>
      </c>
    </row>
    <row r="308" spans="1:10" ht="15.75" customHeight="1">
      <c r="A308" s="272"/>
      <c r="B308" s="96"/>
      <c r="C308" s="96"/>
      <c r="D308" s="96"/>
      <c r="E308" s="96"/>
      <c r="F308" s="96"/>
      <c r="G308" s="110"/>
      <c r="H308" s="110"/>
      <c r="I308" s="110"/>
      <c r="J308" s="292"/>
    </row>
    <row r="309" spans="1:10" ht="15.75" customHeight="1">
      <c r="A309" s="384" t="s">
        <v>254</v>
      </c>
      <c r="B309" s="385"/>
      <c r="C309" s="385"/>
      <c r="D309" s="385"/>
      <c r="E309" s="386"/>
      <c r="F309" s="107"/>
      <c r="G309" s="109">
        <f>SUM(G310)</f>
        <v>640000</v>
      </c>
      <c r="H309" s="109">
        <f>SUM(H310)</f>
        <v>640000</v>
      </c>
      <c r="I309" s="109">
        <f>SUM(I310)</f>
        <v>351686</v>
      </c>
      <c r="J309" s="269">
        <f>I309/H309</f>
        <v>0.549509375</v>
      </c>
    </row>
    <row r="310" spans="1:10" ht="15.75" customHeight="1">
      <c r="A310" s="270" t="s">
        <v>27</v>
      </c>
      <c r="B310" s="93"/>
      <c r="C310" s="437" t="s">
        <v>28</v>
      </c>
      <c r="D310" s="438"/>
      <c r="E310" s="439"/>
      <c r="F310" s="93"/>
      <c r="G310" s="112">
        <f>G311+G313+G317</f>
        <v>640000</v>
      </c>
      <c r="H310" s="112">
        <f>H311+H313+H317</f>
        <v>640000</v>
      </c>
      <c r="I310" s="112">
        <f>I311+I313+I317</f>
        <v>351686</v>
      </c>
      <c r="J310" s="271">
        <f aca="true" t="shared" si="18" ref="J310:J318">I310/H310</f>
        <v>0.549509375</v>
      </c>
    </row>
    <row r="311" spans="1:10" ht="15.75" customHeight="1">
      <c r="A311" s="275"/>
      <c r="B311" s="93" t="s">
        <v>169</v>
      </c>
      <c r="C311" s="102"/>
      <c r="D311" s="437" t="s">
        <v>170</v>
      </c>
      <c r="E311" s="439"/>
      <c r="F311" s="93"/>
      <c r="G311" s="110">
        <f>G312</f>
        <v>40000</v>
      </c>
      <c r="H311" s="110">
        <f>H312</f>
        <v>40000</v>
      </c>
      <c r="I311" s="110">
        <f>I312</f>
        <v>0</v>
      </c>
      <c r="J311" s="273">
        <f t="shared" si="18"/>
        <v>0</v>
      </c>
    </row>
    <row r="312" spans="1:10" ht="15.75" customHeight="1">
      <c r="A312" s="272"/>
      <c r="B312" s="96"/>
      <c r="C312" s="96" t="s">
        <v>174</v>
      </c>
      <c r="D312" s="435" t="s">
        <v>175</v>
      </c>
      <c r="E312" s="436"/>
      <c r="F312" s="96"/>
      <c r="G312" s="110">
        <v>40000</v>
      </c>
      <c r="H312" s="110">
        <v>40000</v>
      </c>
      <c r="I312" s="110">
        <v>0</v>
      </c>
      <c r="J312" s="273">
        <f t="shared" si="18"/>
        <v>0</v>
      </c>
    </row>
    <row r="313" spans="1:10" ht="15.75" customHeight="1">
      <c r="A313" s="275"/>
      <c r="B313" s="93" t="s">
        <v>183</v>
      </c>
      <c r="C313" s="102"/>
      <c r="D313" s="437" t="s">
        <v>184</v>
      </c>
      <c r="E313" s="439"/>
      <c r="F313" s="96"/>
      <c r="G313" s="112">
        <f>G314+G315+G316</f>
        <v>500000</v>
      </c>
      <c r="H313" s="112">
        <f>H314+H315+H316</f>
        <v>500000</v>
      </c>
      <c r="I313" s="112">
        <f>I314+I315+I316</f>
        <v>277818</v>
      </c>
      <c r="J313" s="271">
        <f t="shared" si="18"/>
        <v>0.555636</v>
      </c>
    </row>
    <row r="314" spans="1:10" ht="15.75" customHeight="1">
      <c r="A314" s="272"/>
      <c r="B314" s="96"/>
      <c r="C314" s="96" t="s">
        <v>185</v>
      </c>
      <c r="D314" s="435" t="s">
        <v>186</v>
      </c>
      <c r="E314" s="436"/>
      <c r="F314" s="96"/>
      <c r="G314" s="110">
        <v>250000</v>
      </c>
      <c r="H314" s="110">
        <v>250000</v>
      </c>
      <c r="I314" s="110">
        <v>277818</v>
      </c>
      <c r="J314" s="273">
        <f t="shared" si="18"/>
        <v>1.111272</v>
      </c>
    </row>
    <row r="315" spans="1:10" ht="15.75" customHeight="1">
      <c r="A315" s="272"/>
      <c r="B315" s="96"/>
      <c r="C315" s="96" t="s">
        <v>189</v>
      </c>
      <c r="D315" s="435" t="s">
        <v>190</v>
      </c>
      <c r="E315" s="436"/>
      <c r="F315" s="96"/>
      <c r="G315" s="110">
        <v>150000</v>
      </c>
      <c r="H315" s="110">
        <v>150000</v>
      </c>
      <c r="I315" s="110">
        <v>0</v>
      </c>
      <c r="J315" s="273">
        <f t="shared" si="18"/>
        <v>0</v>
      </c>
    </row>
    <row r="316" spans="1:10" ht="15.75" customHeight="1">
      <c r="A316" s="272"/>
      <c r="B316" s="96"/>
      <c r="C316" s="96" t="s">
        <v>191</v>
      </c>
      <c r="D316" s="435" t="s">
        <v>192</v>
      </c>
      <c r="E316" s="436"/>
      <c r="F316" s="96"/>
      <c r="G316" s="110">
        <v>100000</v>
      </c>
      <c r="H316" s="110">
        <v>100000</v>
      </c>
      <c r="I316" s="110">
        <v>0</v>
      </c>
      <c r="J316" s="273">
        <f t="shared" si="18"/>
        <v>0</v>
      </c>
    </row>
    <row r="317" spans="1:10" ht="15.75" customHeight="1">
      <c r="A317" s="275"/>
      <c r="B317" s="93" t="s">
        <v>197</v>
      </c>
      <c r="C317" s="102"/>
      <c r="D317" s="437" t="s">
        <v>198</v>
      </c>
      <c r="E317" s="439"/>
      <c r="F317" s="96"/>
      <c r="G317" s="112">
        <f>G318</f>
        <v>100000</v>
      </c>
      <c r="H317" s="112">
        <f>H318</f>
        <v>100000</v>
      </c>
      <c r="I317" s="112">
        <f>I318</f>
        <v>73868</v>
      </c>
      <c r="J317" s="271">
        <f t="shared" si="18"/>
        <v>0.73868</v>
      </c>
    </row>
    <row r="318" spans="1:10" ht="15.75" customHeight="1">
      <c r="A318" s="272"/>
      <c r="B318" s="96"/>
      <c r="C318" s="96" t="s">
        <v>199</v>
      </c>
      <c r="D318" s="435" t="s">
        <v>200</v>
      </c>
      <c r="E318" s="436"/>
      <c r="F318" s="96"/>
      <c r="G318" s="110">
        <v>100000</v>
      </c>
      <c r="H318" s="110">
        <v>100000</v>
      </c>
      <c r="I318" s="110">
        <v>73868</v>
      </c>
      <c r="J318" s="273">
        <f t="shared" si="18"/>
        <v>0.73868</v>
      </c>
    </row>
    <row r="319" spans="1:10" ht="15.75" customHeight="1">
      <c r="A319" s="272"/>
      <c r="B319" s="96"/>
      <c r="C319" s="96"/>
      <c r="D319" s="96"/>
      <c r="E319" s="96"/>
      <c r="F319" s="96"/>
      <c r="G319" s="110"/>
      <c r="H319" s="110"/>
      <c r="I319" s="110"/>
      <c r="J319" s="292"/>
    </row>
    <row r="320" spans="1:10" ht="15.75" customHeight="1">
      <c r="A320" s="384" t="s">
        <v>255</v>
      </c>
      <c r="B320" s="385"/>
      <c r="C320" s="385"/>
      <c r="D320" s="385"/>
      <c r="E320" s="386"/>
      <c r="F320" s="107"/>
      <c r="G320" s="109">
        <f>SUM(G321)</f>
        <v>1000000</v>
      </c>
      <c r="H320" s="109">
        <f>SUM(H321)</f>
        <v>1000000</v>
      </c>
      <c r="I320" s="109">
        <f>SUM(I321)</f>
        <v>1000000</v>
      </c>
      <c r="J320" s="269">
        <f>I320/H320</f>
        <v>1</v>
      </c>
    </row>
    <row r="321" spans="1:10" ht="15.75" customHeight="1">
      <c r="A321" s="270" t="s">
        <v>31</v>
      </c>
      <c r="B321" s="93"/>
      <c r="C321" s="437" t="s">
        <v>32</v>
      </c>
      <c r="D321" s="438"/>
      <c r="E321" s="439"/>
      <c r="F321" s="96"/>
      <c r="G321" s="110">
        <f>G322</f>
        <v>1000000</v>
      </c>
      <c r="H321" s="110">
        <f>H322</f>
        <v>1000000</v>
      </c>
      <c r="I321" s="110">
        <f>I322</f>
        <v>1000000</v>
      </c>
      <c r="J321" s="273">
        <f>I321/H321</f>
        <v>1</v>
      </c>
    </row>
    <row r="322" spans="1:10" ht="15.75" customHeight="1">
      <c r="A322" s="272"/>
      <c r="B322" s="96"/>
      <c r="C322" s="96" t="s">
        <v>202</v>
      </c>
      <c r="D322" s="435" t="s">
        <v>203</v>
      </c>
      <c r="E322" s="436"/>
      <c r="F322" s="96"/>
      <c r="G322" s="111">
        <v>1000000</v>
      </c>
      <c r="H322" s="111">
        <v>1000000</v>
      </c>
      <c r="I322" s="111">
        <v>1000000</v>
      </c>
      <c r="J322" s="273">
        <f>I322/H322</f>
        <v>1</v>
      </c>
    </row>
    <row r="323" spans="1:10" ht="15.75" customHeight="1">
      <c r="A323" s="272"/>
      <c r="B323" s="96"/>
      <c r="C323" s="96"/>
      <c r="D323" s="96"/>
      <c r="E323" s="96"/>
      <c r="F323" s="96"/>
      <c r="G323" s="111"/>
      <c r="H323" s="111"/>
      <c r="I323" s="111"/>
      <c r="J323" s="293"/>
    </row>
    <row r="324" spans="1:10" ht="15.75" customHeight="1">
      <c r="A324" s="384" t="s">
        <v>110</v>
      </c>
      <c r="B324" s="385"/>
      <c r="C324" s="385"/>
      <c r="D324" s="385"/>
      <c r="E324" s="386"/>
      <c r="F324" s="114">
        <v>6</v>
      </c>
      <c r="G324" s="109">
        <f>G325+G335+G338+G358+G354</f>
        <v>185033515</v>
      </c>
      <c r="H324" s="109">
        <f>H325+H335+H338+H358+H354</f>
        <v>177760215</v>
      </c>
      <c r="I324" s="109">
        <f>I325+I335+I338+I358+I354</f>
        <v>167994869</v>
      </c>
      <c r="J324" s="269">
        <f>I324/H324</f>
        <v>0.9450645016377821</v>
      </c>
    </row>
    <row r="325" spans="1:10" ht="15.75" customHeight="1">
      <c r="A325" s="270" t="s">
        <v>23</v>
      </c>
      <c r="B325" s="93"/>
      <c r="C325" s="437" t="s">
        <v>150</v>
      </c>
      <c r="D325" s="438"/>
      <c r="E325" s="439"/>
      <c r="F325" s="96"/>
      <c r="G325" s="112">
        <f>G326+G333</f>
        <v>16466852</v>
      </c>
      <c r="H325" s="112">
        <f>H326+H333</f>
        <v>16295852</v>
      </c>
      <c r="I325" s="112">
        <f>I326+I333</f>
        <v>12336524</v>
      </c>
      <c r="J325" s="271">
        <f aca="true" t="shared" si="19" ref="J325:J360">I325/H325</f>
        <v>0.7570346122436556</v>
      </c>
    </row>
    <row r="326" spans="1:10" ht="15.75" customHeight="1">
      <c r="A326" s="272"/>
      <c r="B326" s="93" t="s">
        <v>151</v>
      </c>
      <c r="C326" s="93"/>
      <c r="D326" s="437" t="s">
        <v>152</v>
      </c>
      <c r="E326" s="439"/>
      <c r="F326" s="96"/>
      <c r="G326" s="112">
        <f>SUM(G327:G332)</f>
        <v>12506852</v>
      </c>
      <c r="H326" s="112">
        <f>SUM(H327:H332)</f>
        <v>12335852</v>
      </c>
      <c r="I326" s="112">
        <f>SUM(I327:I332)</f>
        <v>10591488</v>
      </c>
      <c r="J326" s="271">
        <f t="shared" si="19"/>
        <v>0.8585939584878288</v>
      </c>
    </row>
    <row r="327" spans="1:10" ht="15.75" customHeight="1">
      <c r="A327" s="283"/>
      <c r="B327" s="96"/>
      <c r="C327" s="96" t="s">
        <v>153</v>
      </c>
      <c r="D327" s="435" t="s">
        <v>154</v>
      </c>
      <c r="E327" s="436"/>
      <c r="F327" s="96"/>
      <c r="G327" s="110">
        <f>10108800*1.04</f>
        <v>10513152</v>
      </c>
      <c r="H327" s="110">
        <v>10513152</v>
      </c>
      <c r="I327" s="110">
        <v>8779973</v>
      </c>
      <c r="J327" s="273">
        <f t="shared" si="19"/>
        <v>0.8351418299668834</v>
      </c>
    </row>
    <row r="328" spans="1:10" ht="15.75" customHeight="1">
      <c r="A328" s="283"/>
      <c r="B328" s="96"/>
      <c r="C328" s="96" t="s">
        <v>311</v>
      </c>
      <c r="D328" s="435" t="s">
        <v>314</v>
      </c>
      <c r="E328" s="436"/>
      <c r="F328" s="96"/>
      <c r="G328" s="110">
        <f>421200*1.04</f>
        <v>438048</v>
      </c>
      <c r="H328" s="110">
        <v>438048</v>
      </c>
      <c r="I328" s="110">
        <v>438000</v>
      </c>
      <c r="J328" s="273">
        <f t="shared" si="19"/>
        <v>0.9998904229673461</v>
      </c>
    </row>
    <row r="329" spans="1:10" ht="15.75" customHeight="1">
      <c r="A329" s="283"/>
      <c r="B329" s="96"/>
      <c r="C329" s="96" t="s">
        <v>230</v>
      </c>
      <c r="D329" s="435" t="s">
        <v>231</v>
      </c>
      <c r="E329" s="436"/>
      <c r="F329" s="96"/>
      <c r="G329" s="110">
        <v>300000</v>
      </c>
      <c r="H329" s="110">
        <v>377000</v>
      </c>
      <c r="I329" s="110">
        <v>376990</v>
      </c>
      <c r="J329" s="273">
        <f t="shared" si="19"/>
        <v>0.999973474801061</v>
      </c>
    </row>
    <row r="330" spans="1:10" ht="15.75" customHeight="1">
      <c r="A330" s="272"/>
      <c r="B330" s="96"/>
      <c r="C330" s="96" t="s">
        <v>155</v>
      </c>
      <c r="D330" s="435" t="s">
        <v>156</v>
      </c>
      <c r="E330" s="436"/>
      <c r="F330" s="96"/>
      <c r="G330" s="110">
        <v>695652</v>
      </c>
      <c r="H330" s="110">
        <v>695652</v>
      </c>
      <c r="I330" s="110">
        <v>695652</v>
      </c>
      <c r="J330" s="273">
        <f t="shared" si="19"/>
        <v>1</v>
      </c>
    </row>
    <row r="331" spans="1:10" ht="15.75" customHeight="1">
      <c r="A331" s="272"/>
      <c r="B331" s="96"/>
      <c r="C331" s="96" t="s">
        <v>243</v>
      </c>
      <c r="D331" s="435" t="s">
        <v>244</v>
      </c>
      <c r="E331" s="436"/>
      <c r="F331" s="96"/>
      <c r="G331" s="110">
        <v>60000</v>
      </c>
      <c r="H331" s="110">
        <v>60000</v>
      </c>
      <c r="I331" s="110">
        <v>48900</v>
      </c>
      <c r="J331" s="273">
        <f t="shared" si="19"/>
        <v>0.815</v>
      </c>
    </row>
    <row r="332" spans="1:10" ht="15.75" customHeight="1">
      <c r="A332" s="272"/>
      <c r="B332" s="96"/>
      <c r="C332" s="95" t="s">
        <v>218</v>
      </c>
      <c r="D332" s="435" t="s">
        <v>333</v>
      </c>
      <c r="E332" s="436"/>
      <c r="F332" s="96"/>
      <c r="G332" s="110">
        <v>500000</v>
      </c>
      <c r="H332" s="110">
        <v>252000</v>
      </c>
      <c r="I332" s="110">
        <v>251973</v>
      </c>
      <c r="J332" s="273">
        <f t="shared" si="19"/>
        <v>0.9998928571428571</v>
      </c>
    </row>
    <row r="333" spans="1:10" ht="15.75" customHeight="1">
      <c r="A333" s="272"/>
      <c r="B333" s="93" t="s">
        <v>157</v>
      </c>
      <c r="C333" s="92"/>
      <c r="D333" s="437" t="s">
        <v>252</v>
      </c>
      <c r="E333" s="439"/>
      <c r="F333" s="96"/>
      <c r="G333" s="112">
        <f>SUM(G334:G334)</f>
        <v>3960000</v>
      </c>
      <c r="H333" s="112">
        <f>SUM(H334:H334)</f>
        <v>3960000</v>
      </c>
      <c r="I333" s="112">
        <f>SUM(I334:I334)</f>
        <v>1745036</v>
      </c>
      <c r="J333" s="271">
        <f t="shared" si="19"/>
        <v>0.44066565656565654</v>
      </c>
    </row>
    <row r="334" spans="1:10" ht="15.75" customHeight="1">
      <c r="A334" s="272"/>
      <c r="B334" s="96"/>
      <c r="C334" s="95" t="s">
        <v>245</v>
      </c>
      <c r="D334" s="435" t="s">
        <v>253</v>
      </c>
      <c r="E334" s="436"/>
      <c r="F334" s="96"/>
      <c r="G334" s="110">
        <v>3960000</v>
      </c>
      <c r="H334" s="110">
        <v>3960000</v>
      </c>
      <c r="I334" s="110">
        <v>1745036</v>
      </c>
      <c r="J334" s="273">
        <f t="shared" si="19"/>
        <v>0.44066565656565654</v>
      </c>
    </row>
    <row r="335" spans="1:10" ht="15.75" customHeight="1">
      <c r="A335" s="270" t="s">
        <v>25</v>
      </c>
      <c r="B335" s="93"/>
      <c r="C335" s="437" t="s">
        <v>166</v>
      </c>
      <c r="D335" s="438"/>
      <c r="E335" s="439"/>
      <c r="F335" s="96"/>
      <c r="G335" s="112">
        <f>SUM(G336:G337)</f>
        <v>2435236</v>
      </c>
      <c r="H335" s="112">
        <f>SUM(H336:H337)</f>
        <v>2435236</v>
      </c>
      <c r="I335" s="112">
        <f>SUM(I336:I337)</f>
        <v>2302403</v>
      </c>
      <c r="J335" s="271">
        <f t="shared" si="19"/>
        <v>0.9454537465773338</v>
      </c>
    </row>
    <row r="336" spans="1:10" ht="15.75" customHeight="1">
      <c r="A336" s="272"/>
      <c r="B336" s="96"/>
      <c r="C336" s="96"/>
      <c r="D336" s="450" t="s">
        <v>167</v>
      </c>
      <c r="E336" s="451"/>
      <c r="F336" s="96"/>
      <c r="G336" s="110">
        <f>(G327+G328+G329+G332+G334)*0.155</f>
        <v>2435236</v>
      </c>
      <c r="H336" s="110">
        <v>2435236</v>
      </c>
      <c r="I336" s="110">
        <v>2302403</v>
      </c>
      <c r="J336" s="273">
        <f t="shared" si="19"/>
        <v>0.9454537465773338</v>
      </c>
    </row>
    <row r="337" spans="1:10" ht="15.75" customHeight="1">
      <c r="A337" s="272"/>
      <c r="B337" s="96"/>
      <c r="C337" s="96"/>
      <c r="D337" s="98" t="s">
        <v>168</v>
      </c>
      <c r="E337" s="96"/>
      <c r="F337" s="96"/>
      <c r="G337" s="110"/>
      <c r="H337" s="110"/>
      <c r="I337" s="110"/>
      <c r="J337" s="273"/>
    </row>
    <row r="338" spans="1:10" ht="15.75" customHeight="1">
      <c r="A338" s="270" t="s">
        <v>27</v>
      </c>
      <c r="B338" s="93"/>
      <c r="C338" s="437" t="s">
        <v>28</v>
      </c>
      <c r="D338" s="438"/>
      <c r="E338" s="439"/>
      <c r="F338" s="96"/>
      <c r="G338" s="112">
        <f>G339+G342+G345+G350</f>
        <v>57918536</v>
      </c>
      <c r="H338" s="112">
        <f>H339+H342+H345+H350</f>
        <v>51111536</v>
      </c>
      <c r="I338" s="112">
        <f>I339+I342+I345+I350</f>
        <v>45436351</v>
      </c>
      <c r="J338" s="271">
        <f t="shared" si="19"/>
        <v>0.8889646947804504</v>
      </c>
    </row>
    <row r="339" spans="1:10" ht="15.75" customHeight="1">
      <c r="A339" s="275"/>
      <c r="B339" s="93" t="s">
        <v>169</v>
      </c>
      <c r="C339" s="98"/>
      <c r="D339" s="437" t="s">
        <v>170</v>
      </c>
      <c r="E339" s="439"/>
      <c r="F339" s="96"/>
      <c r="G339" s="112">
        <f>G340+G341</f>
        <v>9150000</v>
      </c>
      <c r="H339" s="112">
        <f>H340+H341</f>
        <v>9150000</v>
      </c>
      <c r="I339" s="112">
        <f>I340+I341</f>
        <v>7844524</v>
      </c>
      <c r="J339" s="271">
        <f t="shared" si="19"/>
        <v>0.8573250273224043</v>
      </c>
    </row>
    <row r="340" spans="1:10" ht="15.75" customHeight="1">
      <c r="A340" s="272"/>
      <c r="B340" s="96"/>
      <c r="C340" s="96" t="s">
        <v>171</v>
      </c>
      <c r="D340" s="435" t="s">
        <v>172</v>
      </c>
      <c r="E340" s="436"/>
      <c r="F340" s="96"/>
      <c r="G340" s="110">
        <v>150000</v>
      </c>
      <c r="H340" s="110">
        <v>150000</v>
      </c>
      <c r="I340" s="110">
        <v>39799</v>
      </c>
      <c r="J340" s="273">
        <f t="shared" si="19"/>
        <v>0.26532666666666666</v>
      </c>
    </row>
    <row r="341" spans="1:10" ht="15.75" customHeight="1">
      <c r="A341" s="272"/>
      <c r="B341" s="96"/>
      <c r="C341" s="96" t="s">
        <v>174</v>
      </c>
      <c r="D341" s="435" t="s">
        <v>175</v>
      </c>
      <c r="E341" s="436"/>
      <c r="F341" s="96"/>
      <c r="G341" s="110">
        <f>5000000+2300000+1700000</f>
        <v>9000000</v>
      </c>
      <c r="H341" s="110">
        <f>5000000+2300000+1700000</f>
        <v>9000000</v>
      </c>
      <c r="I341" s="110">
        <v>7804725</v>
      </c>
      <c r="J341" s="273">
        <f t="shared" si="19"/>
        <v>0.8671916666666667</v>
      </c>
    </row>
    <row r="342" spans="1:10" ht="15.75" customHeight="1">
      <c r="A342" s="275"/>
      <c r="B342" s="93" t="s">
        <v>177</v>
      </c>
      <c r="C342" s="98"/>
      <c r="D342" s="437" t="s">
        <v>178</v>
      </c>
      <c r="E342" s="439"/>
      <c r="F342" s="96"/>
      <c r="G342" s="112">
        <f>G343+G344</f>
        <v>200000</v>
      </c>
      <c r="H342" s="112">
        <f>H343+H344</f>
        <v>200000</v>
      </c>
      <c r="I342" s="112">
        <f>I343+I344</f>
        <v>153021</v>
      </c>
      <c r="J342" s="271">
        <f t="shared" si="19"/>
        <v>0.765105</v>
      </c>
    </row>
    <row r="343" spans="1:10" ht="15.75" customHeight="1">
      <c r="A343" s="272"/>
      <c r="B343" s="96"/>
      <c r="C343" s="96" t="s">
        <v>179</v>
      </c>
      <c r="D343" s="435" t="s">
        <v>180</v>
      </c>
      <c r="E343" s="436"/>
      <c r="F343" s="96"/>
      <c r="G343" s="110">
        <v>100000</v>
      </c>
      <c r="H343" s="110">
        <v>100000</v>
      </c>
      <c r="I343" s="110">
        <v>100472</v>
      </c>
      <c r="J343" s="273">
        <f t="shared" si="19"/>
        <v>1.00472</v>
      </c>
    </row>
    <row r="344" spans="1:10" ht="15.75" customHeight="1">
      <c r="A344" s="272"/>
      <c r="B344" s="96"/>
      <c r="C344" s="96" t="s">
        <v>181</v>
      </c>
      <c r="D344" s="435" t="s">
        <v>182</v>
      </c>
      <c r="E344" s="436"/>
      <c r="F344" s="96"/>
      <c r="G344" s="110">
        <v>100000</v>
      </c>
      <c r="H344" s="110">
        <v>100000</v>
      </c>
      <c r="I344" s="110">
        <v>52549</v>
      </c>
      <c r="J344" s="273">
        <f t="shared" si="19"/>
        <v>0.52549</v>
      </c>
    </row>
    <row r="345" spans="1:10" ht="15.75" customHeight="1">
      <c r="A345" s="275"/>
      <c r="B345" s="93" t="s">
        <v>183</v>
      </c>
      <c r="C345" s="98"/>
      <c r="D345" s="437" t="s">
        <v>184</v>
      </c>
      <c r="E345" s="439"/>
      <c r="F345" s="96"/>
      <c r="G345" s="112">
        <f>G346+G348+G349+G347</f>
        <v>19293000</v>
      </c>
      <c r="H345" s="112">
        <f>H346+H348+H349+H347</f>
        <v>20481000</v>
      </c>
      <c r="I345" s="112">
        <f>I346+I348+I349+I347</f>
        <v>17163712</v>
      </c>
      <c r="J345" s="271">
        <f t="shared" si="19"/>
        <v>0.83803095551975</v>
      </c>
    </row>
    <row r="346" spans="1:10" ht="15.75" customHeight="1">
      <c r="A346" s="272"/>
      <c r="B346" s="96"/>
      <c r="C346" s="96" t="s">
        <v>185</v>
      </c>
      <c r="D346" s="435" t="s">
        <v>186</v>
      </c>
      <c r="E346" s="436"/>
      <c r="F346" s="96"/>
      <c r="G346" s="110">
        <v>4000000</v>
      </c>
      <c r="H346" s="110">
        <v>4777000</v>
      </c>
      <c r="I346" s="110">
        <v>4776842</v>
      </c>
      <c r="J346" s="273">
        <f t="shared" si="19"/>
        <v>0.9999669248482311</v>
      </c>
    </row>
    <row r="347" spans="1:10" ht="15.75" customHeight="1">
      <c r="A347" s="272"/>
      <c r="B347" s="96"/>
      <c r="C347" s="96" t="s">
        <v>187</v>
      </c>
      <c r="D347" s="435" t="s">
        <v>188</v>
      </c>
      <c r="E347" s="436"/>
      <c r="F347" s="96"/>
      <c r="G347" s="110">
        <v>100000</v>
      </c>
      <c r="H347" s="110">
        <v>100000</v>
      </c>
      <c r="I347" s="110">
        <v>0</v>
      </c>
      <c r="J347" s="273">
        <f t="shared" si="19"/>
        <v>0</v>
      </c>
    </row>
    <row r="348" spans="1:10" ht="15.75" customHeight="1">
      <c r="A348" s="272"/>
      <c r="B348" s="96"/>
      <c r="C348" s="96" t="s">
        <v>189</v>
      </c>
      <c r="D348" s="435" t="s">
        <v>190</v>
      </c>
      <c r="E348" s="436"/>
      <c r="F348" s="96"/>
      <c r="G348" s="110">
        <v>5000000</v>
      </c>
      <c r="H348" s="110">
        <v>5411000</v>
      </c>
      <c r="I348" s="110">
        <v>5410832</v>
      </c>
      <c r="J348" s="273">
        <f t="shared" si="19"/>
        <v>0.9999689521345407</v>
      </c>
    </row>
    <row r="349" spans="1:10" ht="15.75" customHeight="1">
      <c r="A349" s="272"/>
      <c r="B349" s="96"/>
      <c r="C349" s="96" t="s">
        <v>191</v>
      </c>
      <c r="D349" s="435" t="s">
        <v>192</v>
      </c>
      <c r="E349" s="436"/>
      <c r="F349" s="96"/>
      <c r="G349" s="110">
        <f>10000000+193000</f>
        <v>10193000</v>
      </c>
      <c r="H349" s="110">
        <v>10193000</v>
      </c>
      <c r="I349" s="110">
        <v>6976038</v>
      </c>
      <c r="J349" s="273">
        <f t="shared" si="19"/>
        <v>0.6843949769449622</v>
      </c>
    </row>
    <row r="350" spans="1:10" ht="15.75" customHeight="1">
      <c r="A350" s="275"/>
      <c r="B350" s="93" t="s">
        <v>197</v>
      </c>
      <c r="C350" s="102"/>
      <c r="D350" s="437" t="s">
        <v>198</v>
      </c>
      <c r="E350" s="439"/>
      <c r="F350" s="96"/>
      <c r="G350" s="112">
        <f>SUM(G351:G352)</f>
        <v>29275536</v>
      </c>
      <c r="H350" s="112">
        <f>SUM(H351:H353)</f>
        <v>21280536</v>
      </c>
      <c r="I350" s="112">
        <f>SUM(I351:I353)</f>
        <v>20275094</v>
      </c>
      <c r="J350" s="271">
        <f t="shared" si="19"/>
        <v>0.952752975770911</v>
      </c>
    </row>
    <row r="351" spans="1:10" ht="15.75" customHeight="1">
      <c r="A351" s="272"/>
      <c r="B351" s="96"/>
      <c r="C351" s="96" t="s">
        <v>199</v>
      </c>
      <c r="D351" s="435" t="s">
        <v>200</v>
      </c>
      <c r="E351" s="436"/>
      <c r="F351" s="96"/>
      <c r="G351" s="110">
        <f>5700000+621000+459000</f>
        <v>6780000</v>
      </c>
      <c r="H351" s="110">
        <f>5700000+621000+459000</f>
        <v>6780000</v>
      </c>
      <c r="I351" s="110">
        <v>6380940</v>
      </c>
      <c r="J351" s="273">
        <f t="shared" si="19"/>
        <v>0.9411415929203539</v>
      </c>
    </row>
    <row r="352" spans="1:10" ht="15.75" customHeight="1">
      <c r="A352" s="272"/>
      <c r="B352" s="96"/>
      <c r="C352" s="96" t="s">
        <v>222</v>
      </c>
      <c r="D352" s="435" t="s">
        <v>223</v>
      </c>
      <c r="E352" s="436"/>
      <c r="F352" s="96"/>
      <c r="G352" s="110">
        <v>22495536</v>
      </c>
      <c r="H352" s="110">
        <v>14495536</v>
      </c>
      <c r="I352" s="110">
        <v>13894154</v>
      </c>
      <c r="J352" s="273">
        <f t="shared" si="19"/>
        <v>0.9585126069156739</v>
      </c>
    </row>
    <row r="353" spans="1:10" ht="15.75" customHeight="1">
      <c r="A353" s="272"/>
      <c r="B353" s="96"/>
      <c r="C353" s="96" t="s">
        <v>417</v>
      </c>
      <c r="D353" s="435" t="s">
        <v>348</v>
      </c>
      <c r="E353" s="436"/>
      <c r="F353" s="96"/>
      <c r="G353" s="110"/>
      <c r="H353" s="110">
        <v>5000</v>
      </c>
      <c r="I353" s="110">
        <v>0</v>
      </c>
      <c r="J353" s="273">
        <f t="shared" si="19"/>
        <v>0</v>
      </c>
    </row>
    <row r="354" spans="1:10" ht="15.75" customHeight="1">
      <c r="A354" s="276" t="s">
        <v>34</v>
      </c>
      <c r="B354" s="96"/>
      <c r="C354" s="437" t="s">
        <v>35</v>
      </c>
      <c r="D354" s="438"/>
      <c r="E354" s="439"/>
      <c r="F354" s="96"/>
      <c r="G354" s="112">
        <f>SUM(G355:G357)</f>
        <v>65538922</v>
      </c>
      <c r="H354" s="112">
        <f>SUM(H355:H357)</f>
        <v>70899491</v>
      </c>
      <c r="I354" s="112">
        <f>SUM(I355:I357)</f>
        <v>70899491</v>
      </c>
      <c r="J354" s="271">
        <f t="shared" si="19"/>
        <v>1</v>
      </c>
    </row>
    <row r="355" spans="1:10" ht="15.75" customHeight="1">
      <c r="A355" s="272"/>
      <c r="B355" s="93" t="s">
        <v>357</v>
      </c>
      <c r="C355" s="96"/>
      <c r="D355" s="435" t="s">
        <v>358</v>
      </c>
      <c r="E355" s="436"/>
      <c r="F355" s="96"/>
      <c r="G355" s="110">
        <f>2500000+2500000</f>
        <v>5000000</v>
      </c>
      <c r="H355" s="110">
        <f>2500000+2500000-1322627</f>
        <v>3677373</v>
      </c>
      <c r="I355" s="110">
        <f>2500000+2500000-1322627</f>
        <v>3677373</v>
      </c>
      <c r="J355" s="273">
        <f t="shared" si="19"/>
        <v>1</v>
      </c>
    </row>
    <row r="356" spans="1:10" ht="15.75" customHeight="1">
      <c r="A356" s="272"/>
      <c r="B356" s="93" t="s">
        <v>318</v>
      </c>
      <c r="C356" s="96"/>
      <c r="D356" s="435" t="s">
        <v>317</v>
      </c>
      <c r="E356" s="436"/>
      <c r="F356" s="96"/>
      <c r="G356" s="110">
        <f>22500000+13600000+10505450</f>
        <v>46605450</v>
      </c>
      <c r="H356" s="110">
        <f>22500000+13600000+10505450+5543548</f>
        <v>52148998</v>
      </c>
      <c r="I356" s="110">
        <f>22500000+13600000+10505450+5543548</f>
        <v>52148998</v>
      </c>
      <c r="J356" s="273">
        <f t="shared" si="19"/>
        <v>1</v>
      </c>
    </row>
    <row r="357" spans="1:10" ht="15.75" customHeight="1">
      <c r="A357" s="272"/>
      <c r="B357" s="93" t="s">
        <v>225</v>
      </c>
      <c r="C357" s="96"/>
      <c r="D357" s="435" t="s">
        <v>226</v>
      </c>
      <c r="E357" s="436"/>
      <c r="F357" s="96"/>
      <c r="G357" s="110">
        <f>6075000+3672000+675000+675000+2836472</f>
        <v>13933472</v>
      </c>
      <c r="H357" s="110">
        <f>6075000+3672000+675000+675000+2836472+1139648</f>
        <v>15073120</v>
      </c>
      <c r="I357" s="110">
        <f>6075000+3672000+675000+675000+2836472+1139648</f>
        <v>15073120</v>
      </c>
      <c r="J357" s="273">
        <f t="shared" si="19"/>
        <v>1</v>
      </c>
    </row>
    <row r="358" spans="1:10" ht="15.75" customHeight="1">
      <c r="A358" s="287" t="s">
        <v>36</v>
      </c>
      <c r="B358" s="113"/>
      <c r="C358" s="452" t="s">
        <v>37</v>
      </c>
      <c r="D358" s="453"/>
      <c r="E358" s="454"/>
      <c r="F358" s="96"/>
      <c r="G358" s="112">
        <f>SUM(G359:G360)</f>
        <v>42673969</v>
      </c>
      <c r="H358" s="112">
        <f>SUM(H359:H360)</f>
        <v>37018100</v>
      </c>
      <c r="I358" s="112">
        <f>SUM(I359:I360)</f>
        <v>37020100</v>
      </c>
      <c r="J358" s="271">
        <f t="shared" si="19"/>
        <v>1.0000540276243244</v>
      </c>
    </row>
    <row r="359" spans="1:10" ht="15.75" customHeight="1">
      <c r="A359" s="283"/>
      <c r="B359" s="113" t="s">
        <v>234</v>
      </c>
      <c r="C359" s="87"/>
      <c r="D359" s="455" t="s">
        <v>346</v>
      </c>
      <c r="E359" s="456"/>
      <c r="F359" s="96"/>
      <c r="G359" s="110">
        <f>2100000+12200000+19301550</f>
        <v>33601550</v>
      </c>
      <c r="H359" s="110">
        <f>2100000+12200000+19301550-4451869</f>
        <v>29149681</v>
      </c>
      <c r="I359" s="110">
        <f>2100000+12200000+19301550-4451869</f>
        <v>29149681</v>
      </c>
      <c r="J359" s="273">
        <f t="shared" si="19"/>
        <v>1</v>
      </c>
    </row>
    <row r="360" spans="1:10" ht="15.75" customHeight="1">
      <c r="A360" s="283"/>
      <c r="B360" s="113" t="s">
        <v>235</v>
      </c>
      <c r="C360" s="87"/>
      <c r="D360" s="455" t="s">
        <v>236</v>
      </c>
      <c r="E360" s="456"/>
      <c r="F360" s="96"/>
      <c r="G360" s="110">
        <f>567000+3294000+5211419</f>
        <v>9072419</v>
      </c>
      <c r="H360" s="110">
        <v>7868419</v>
      </c>
      <c r="I360" s="110">
        <v>7870419</v>
      </c>
      <c r="J360" s="273">
        <f t="shared" si="19"/>
        <v>1.0002541806683147</v>
      </c>
    </row>
    <row r="361" spans="1:10" ht="15.75" customHeight="1">
      <c r="A361" s="272"/>
      <c r="B361" s="96"/>
      <c r="C361" s="96"/>
      <c r="D361" s="96"/>
      <c r="E361" s="96"/>
      <c r="F361" s="96"/>
      <c r="G361" s="110"/>
      <c r="H361" s="110"/>
      <c r="I361" s="110"/>
      <c r="J361" s="292"/>
    </row>
    <row r="362" spans="1:10" ht="15.75" customHeight="1">
      <c r="A362" s="384" t="s">
        <v>256</v>
      </c>
      <c r="B362" s="385"/>
      <c r="C362" s="385"/>
      <c r="D362" s="385"/>
      <c r="E362" s="386"/>
      <c r="F362" s="114"/>
      <c r="G362" s="109">
        <f>SUM(G363)</f>
        <v>530000</v>
      </c>
      <c r="H362" s="109">
        <f>SUM(H363)</f>
        <v>530000</v>
      </c>
      <c r="I362" s="109">
        <f>SUM(I363)</f>
        <v>543597</v>
      </c>
      <c r="J362" s="269">
        <f>I362/H362</f>
        <v>1.025654716981132</v>
      </c>
    </row>
    <row r="363" spans="1:10" ht="15.75" customHeight="1">
      <c r="A363" s="270" t="s">
        <v>27</v>
      </c>
      <c r="B363" s="93"/>
      <c r="C363" s="437" t="s">
        <v>28</v>
      </c>
      <c r="D363" s="438"/>
      <c r="E363" s="439"/>
      <c r="F363" s="96"/>
      <c r="G363" s="112">
        <f>G364+G367</f>
        <v>530000</v>
      </c>
      <c r="H363" s="112">
        <f>H364+H367</f>
        <v>530000</v>
      </c>
      <c r="I363" s="112">
        <f>I364+I367</f>
        <v>543597</v>
      </c>
      <c r="J363" s="271">
        <f aca="true" t="shared" si="20" ref="J363:J368">I363/H363</f>
        <v>1.025654716981132</v>
      </c>
    </row>
    <row r="364" spans="1:10" ht="15.75" customHeight="1">
      <c r="A364" s="275"/>
      <c r="B364" s="93" t="s">
        <v>169</v>
      </c>
      <c r="C364" s="102"/>
      <c r="D364" s="437" t="s">
        <v>170</v>
      </c>
      <c r="E364" s="439"/>
      <c r="F364" s="96"/>
      <c r="G364" s="112">
        <f aca="true" t="shared" si="21" ref="G364:I365">G365</f>
        <v>500000</v>
      </c>
      <c r="H364" s="112">
        <f t="shared" si="21"/>
        <v>500000</v>
      </c>
      <c r="I364" s="112">
        <f t="shared" si="21"/>
        <v>517715</v>
      </c>
      <c r="J364" s="271">
        <f t="shared" si="20"/>
        <v>1.03543</v>
      </c>
    </row>
    <row r="365" spans="1:10" ht="15.75" customHeight="1">
      <c r="A365" s="272"/>
      <c r="B365" s="96"/>
      <c r="C365" s="96" t="s">
        <v>171</v>
      </c>
      <c r="D365" s="435" t="s">
        <v>172</v>
      </c>
      <c r="E365" s="436"/>
      <c r="F365" s="96"/>
      <c r="G365" s="110">
        <f t="shared" si="21"/>
        <v>500000</v>
      </c>
      <c r="H365" s="110">
        <f t="shared" si="21"/>
        <v>500000</v>
      </c>
      <c r="I365" s="110">
        <v>517715</v>
      </c>
      <c r="J365" s="273">
        <f t="shared" si="20"/>
        <v>1.03543</v>
      </c>
    </row>
    <row r="366" spans="1:10" ht="15.75" customHeight="1">
      <c r="A366" s="272"/>
      <c r="B366" s="96"/>
      <c r="C366" s="96"/>
      <c r="D366" s="96"/>
      <c r="E366" s="101" t="s">
        <v>173</v>
      </c>
      <c r="F366" s="96"/>
      <c r="G366" s="110">
        <v>500000</v>
      </c>
      <c r="H366" s="110">
        <v>500000</v>
      </c>
      <c r="I366" s="110">
        <v>517715</v>
      </c>
      <c r="J366" s="273">
        <f t="shared" si="20"/>
        <v>1.03543</v>
      </c>
    </row>
    <row r="367" spans="1:10" ht="15.75" customHeight="1">
      <c r="A367" s="275"/>
      <c r="B367" s="93" t="s">
        <v>197</v>
      </c>
      <c r="C367" s="102"/>
      <c r="D367" s="437" t="s">
        <v>198</v>
      </c>
      <c r="E367" s="439"/>
      <c r="F367" s="96"/>
      <c r="G367" s="112">
        <f>G368</f>
        <v>30000</v>
      </c>
      <c r="H367" s="112">
        <f>H368</f>
        <v>30000</v>
      </c>
      <c r="I367" s="112">
        <f>I368</f>
        <v>25882</v>
      </c>
      <c r="J367" s="271">
        <f t="shared" si="20"/>
        <v>0.8627333333333334</v>
      </c>
    </row>
    <row r="368" spans="1:10" ht="15.75" customHeight="1">
      <c r="A368" s="272"/>
      <c r="B368" s="96"/>
      <c r="C368" s="96" t="s">
        <v>199</v>
      </c>
      <c r="D368" s="435" t="s">
        <v>200</v>
      </c>
      <c r="E368" s="436"/>
      <c r="F368" s="96"/>
      <c r="G368" s="110">
        <v>30000</v>
      </c>
      <c r="H368" s="110">
        <v>30000</v>
      </c>
      <c r="I368" s="110">
        <v>25882</v>
      </c>
      <c r="J368" s="273">
        <f t="shared" si="20"/>
        <v>0.8627333333333334</v>
      </c>
    </row>
    <row r="369" spans="1:10" ht="15.75" customHeight="1">
      <c r="A369" s="272"/>
      <c r="B369" s="96"/>
      <c r="C369" s="96"/>
      <c r="D369" s="96"/>
      <c r="E369" s="96"/>
      <c r="F369" s="96"/>
      <c r="G369" s="110"/>
      <c r="H369" s="110"/>
      <c r="I369" s="110"/>
      <c r="J369" s="292"/>
    </row>
    <row r="370" spans="1:10" ht="15.75" customHeight="1">
      <c r="A370" s="384" t="s">
        <v>112</v>
      </c>
      <c r="B370" s="385"/>
      <c r="C370" s="385"/>
      <c r="D370" s="385"/>
      <c r="E370" s="386"/>
      <c r="F370" s="114">
        <v>1</v>
      </c>
      <c r="G370" s="109">
        <f>G371+G377+G380</f>
        <v>5683028.515000001</v>
      </c>
      <c r="H370" s="109">
        <f>H371+H377+H380</f>
        <v>5705509</v>
      </c>
      <c r="I370" s="109">
        <f>I371+I377+I380</f>
        <v>5567143</v>
      </c>
      <c r="J370" s="269">
        <f>I370/H370</f>
        <v>0.9757487018248503</v>
      </c>
    </row>
    <row r="371" spans="1:10" ht="15.75" customHeight="1">
      <c r="A371" s="270" t="s">
        <v>23</v>
      </c>
      <c r="B371" s="93"/>
      <c r="C371" s="437" t="s">
        <v>150</v>
      </c>
      <c r="D371" s="438"/>
      <c r="E371" s="439"/>
      <c r="F371" s="96"/>
      <c r="G371" s="112">
        <f>SUM(G372)</f>
        <v>3211713</v>
      </c>
      <c r="H371" s="112">
        <f>SUM(H372)</f>
        <v>3234193</v>
      </c>
      <c r="I371" s="112">
        <f>SUM(I372)</f>
        <v>3236613</v>
      </c>
      <c r="J371" s="271">
        <f aca="true" t="shared" si="22" ref="J371:J392">I371/H371</f>
        <v>1.000748254665074</v>
      </c>
    </row>
    <row r="372" spans="1:10" ht="15.75" customHeight="1">
      <c r="A372" s="272"/>
      <c r="B372" s="93" t="s">
        <v>151</v>
      </c>
      <c r="C372" s="93"/>
      <c r="D372" s="437" t="s">
        <v>152</v>
      </c>
      <c r="E372" s="439"/>
      <c r="F372" s="96"/>
      <c r="G372" s="112">
        <f>SUM(G373:G376)</f>
        <v>3211713</v>
      </c>
      <c r="H372" s="112">
        <f>SUM(H373:H376)</f>
        <v>3234193</v>
      </c>
      <c r="I372" s="112">
        <f>SUM(I373:I376)</f>
        <v>3236613</v>
      </c>
      <c r="J372" s="271">
        <f t="shared" si="22"/>
        <v>1.000748254665074</v>
      </c>
    </row>
    <row r="373" spans="1:10" ht="15.75" customHeight="1">
      <c r="A373" s="283"/>
      <c r="B373" s="96"/>
      <c r="C373" s="96" t="s">
        <v>153</v>
      </c>
      <c r="D373" s="435" t="s">
        <v>154</v>
      </c>
      <c r="E373" s="436"/>
      <c r="F373" s="96"/>
      <c r="G373" s="110">
        <f>2527200*1.04</f>
        <v>2628288</v>
      </c>
      <c r="H373" s="110">
        <v>2628288</v>
      </c>
      <c r="I373" s="110">
        <v>2611200</v>
      </c>
      <c r="J373" s="273">
        <f t="shared" si="22"/>
        <v>0.9934984293958653</v>
      </c>
    </row>
    <row r="374" spans="1:10" ht="15.75" customHeight="1">
      <c r="A374" s="283"/>
      <c r="B374" s="96"/>
      <c r="C374" s="96" t="s">
        <v>311</v>
      </c>
      <c r="D374" s="435" t="s">
        <v>321</v>
      </c>
      <c r="E374" s="436"/>
      <c r="F374" s="96"/>
      <c r="G374" s="110">
        <f>105300*1.04</f>
        <v>109512</v>
      </c>
      <c r="H374" s="110">
        <v>109512</v>
      </c>
      <c r="I374" s="110">
        <v>109500</v>
      </c>
      <c r="J374" s="273">
        <f t="shared" si="22"/>
        <v>0.9998904229673461</v>
      </c>
    </row>
    <row r="375" spans="1:10" ht="15.75" customHeight="1">
      <c r="A375" s="272"/>
      <c r="B375" s="96"/>
      <c r="C375" s="96" t="s">
        <v>155</v>
      </c>
      <c r="D375" s="435" t="s">
        <v>156</v>
      </c>
      <c r="E375" s="436"/>
      <c r="F375" s="96"/>
      <c r="G375" s="110">
        <v>173913</v>
      </c>
      <c r="H375" s="110">
        <v>173913</v>
      </c>
      <c r="I375" s="110">
        <v>173913</v>
      </c>
      <c r="J375" s="273">
        <f t="shared" si="22"/>
        <v>1</v>
      </c>
    </row>
    <row r="376" spans="1:10" ht="15.75" customHeight="1">
      <c r="A376" s="272"/>
      <c r="B376" s="96"/>
      <c r="C376" s="96" t="s">
        <v>243</v>
      </c>
      <c r="D376" s="435" t="s">
        <v>244</v>
      </c>
      <c r="E376" s="436"/>
      <c r="F376" s="96"/>
      <c r="G376" s="110">
        <v>300000</v>
      </c>
      <c r="H376" s="110">
        <v>322480</v>
      </c>
      <c r="I376" s="110">
        <v>342000</v>
      </c>
      <c r="J376" s="273">
        <f t="shared" si="22"/>
        <v>1.0605308856363185</v>
      </c>
    </row>
    <row r="377" spans="1:10" ht="15.75" customHeight="1">
      <c r="A377" s="270" t="s">
        <v>25</v>
      </c>
      <c r="B377" s="93"/>
      <c r="C377" s="437" t="s">
        <v>166</v>
      </c>
      <c r="D377" s="438"/>
      <c r="E377" s="439"/>
      <c r="F377" s="96"/>
      <c r="G377" s="112">
        <f>SUM(G378:G379)</f>
        <v>451315.515</v>
      </c>
      <c r="H377" s="112">
        <f>SUM(H378:H379)</f>
        <v>451316</v>
      </c>
      <c r="I377" s="112">
        <f>SUM(I378:I379)</f>
        <v>447796</v>
      </c>
      <c r="J377" s="271">
        <f t="shared" si="22"/>
        <v>0.9922005867285892</v>
      </c>
    </row>
    <row r="378" spans="1:10" ht="15.75" customHeight="1">
      <c r="A378" s="272"/>
      <c r="B378" s="96"/>
      <c r="C378" s="96"/>
      <c r="D378" s="450" t="s">
        <v>167</v>
      </c>
      <c r="E378" s="451"/>
      <c r="F378" s="96"/>
      <c r="G378" s="110">
        <f>(G373+G374+G375)*0.155</f>
        <v>451315.515</v>
      </c>
      <c r="H378" s="110">
        <v>451316</v>
      </c>
      <c r="I378" s="110">
        <v>447796</v>
      </c>
      <c r="J378" s="273">
        <f t="shared" si="22"/>
        <v>0.9922005867285892</v>
      </c>
    </row>
    <row r="379" spans="1:10" ht="15.75" customHeight="1">
      <c r="A379" s="272"/>
      <c r="B379" s="96"/>
      <c r="C379" s="96"/>
      <c r="D379" s="450" t="s">
        <v>168</v>
      </c>
      <c r="E379" s="451"/>
      <c r="F379" s="96"/>
      <c r="G379" s="110"/>
      <c r="H379" s="110"/>
      <c r="I379" s="110"/>
      <c r="J379" s="273"/>
    </row>
    <row r="380" spans="1:10" ht="15.75" customHeight="1">
      <c r="A380" s="270" t="s">
        <v>27</v>
      </c>
      <c r="B380" s="93"/>
      <c r="C380" s="437" t="s">
        <v>28</v>
      </c>
      <c r="D380" s="438"/>
      <c r="E380" s="439"/>
      <c r="F380" s="96"/>
      <c r="G380" s="112">
        <f>G381+G384+G387+G391</f>
        <v>2020000</v>
      </c>
      <c r="H380" s="112">
        <f>H381+H384+H387+H391</f>
        <v>2020000</v>
      </c>
      <c r="I380" s="112">
        <f>I381+I384+I387+I391</f>
        <v>1882734</v>
      </c>
      <c r="J380" s="271">
        <f t="shared" si="22"/>
        <v>0.9320465346534653</v>
      </c>
    </row>
    <row r="381" spans="1:10" ht="15.75" customHeight="1">
      <c r="A381" s="275"/>
      <c r="B381" s="93" t="s">
        <v>169</v>
      </c>
      <c r="C381" s="102"/>
      <c r="D381" s="437" t="s">
        <v>170</v>
      </c>
      <c r="E381" s="439"/>
      <c r="F381" s="96"/>
      <c r="G381" s="112">
        <f>G382+G383</f>
        <v>300000</v>
      </c>
      <c r="H381" s="112">
        <f>H382+H383</f>
        <v>300000</v>
      </c>
      <c r="I381" s="112">
        <f>I382+I383</f>
        <v>213737</v>
      </c>
      <c r="J381" s="271">
        <f t="shared" si="22"/>
        <v>0.7124566666666666</v>
      </c>
    </row>
    <row r="382" spans="1:10" ht="15.75" customHeight="1">
      <c r="A382" s="272"/>
      <c r="B382" s="96"/>
      <c r="C382" s="96" t="s">
        <v>171</v>
      </c>
      <c r="D382" s="435" t="s">
        <v>172</v>
      </c>
      <c r="E382" s="436"/>
      <c r="F382" s="96"/>
      <c r="G382" s="110">
        <v>100000</v>
      </c>
      <c r="H382" s="110">
        <v>100000</v>
      </c>
      <c r="I382" s="110">
        <v>104470</v>
      </c>
      <c r="J382" s="273">
        <f t="shared" si="22"/>
        <v>1.0447</v>
      </c>
    </row>
    <row r="383" spans="1:10" ht="15.75" customHeight="1">
      <c r="A383" s="272"/>
      <c r="B383" s="96"/>
      <c r="C383" s="96" t="s">
        <v>174</v>
      </c>
      <c r="D383" s="435" t="s">
        <v>175</v>
      </c>
      <c r="E383" s="436"/>
      <c r="F383" s="96"/>
      <c r="G383" s="110">
        <v>200000</v>
      </c>
      <c r="H383" s="110">
        <v>200000</v>
      </c>
      <c r="I383" s="110">
        <v>109267</v>
      </c>
      <c r="J383" s="273">
        <f t="shared" si="22"/>
        <v>0.546335</v>
      </c>
    </row>
    <row r="384" spans="1:10" ht="15.75" customHeight="1">
      <c r="A384" s="275"/>
      <c r="B384" s="93" t="s">
        <v>177</v>
      </c>
      <c r="C384" s="102"/>
      <c r="D384" s="437" t="s">
        <v>178</v>
      </c>
      <c r="E384" s="439"/>
      <c r="F384" s="96"/>
      <c r="G384" s="112">
        <f>G385+G386</f>
        <v>100000</v>
      </c>
      <c r="H384" s="112">
        <f>H385+H386</f>
        <v>100000</v>
      </c>
      <c r="I384" s="112">
        <f>I385+I386</f>
        <v>201159</v>
      </c>
      <c r="J384" s="271">
        <f t="shared" si="22"/>
        <v>2.01159</v>
      </c>
    </row>
    <row r="385" spans="1:10" ht="15.75" customHeight="1">
      <c r="A385" s="272"/>
      <c r="B385" s="96"/>
      <c r="C385" s="96" t="s">
        <v>179</v>
      </c>
      <c r="D385" s="435" t="s">
        <v>180</v>
      </c>
      <c r="E385" s="436"/>
      <c r="F385" s="96"/>
      <c r="G385" s="110">
        <v>50000</v>
      </c>
      <c r="H385" s="110">
        <v>50000</v>
      </c>
      <c r="I385" s="110">
        <v>81142</v>
      </c>
      <c r="J385" s="273">
        <f t="shared" si="22"/>
        <v>1.62284</v>
      </c>
    </row>
    <row r="386" spans="1:10" ht="15.75" customHeight="1">
      <c r="A386" s="272"/>
      <c r="B386" s="96"/>
      <c r="C386" s="96" t="s">
        <v>181</v>
      </c>
      <c r="D386" s="435" t="s">
        <v>182</v>
      </c>
      <c r="E386" s="436"/>
      <c r="F386" s="96"/>
      <c r="G386" s="110">
        <v>50000</v>
      </c>
      <c r="H386" s="110">
        <v>50000</v>
      </c>
      <c r="I386" s="110">
        <v>120017</v>
      </c>
      <c r="J386" s="273">
        <f t="shared" si="22"/>
        <v>2.40034</v>
      </c>
    </row>
    <row r="387" spans="1:10" ht="15.75" customHeight="1">
      <c r="A387" s="275"/>
      <c r="B387" s="93" t="s">
        <v>183</v>
      </c>
      <c r="C387" s="102"/>
      <c r="D387" s="437" t="s">
        <v>184</v>
      </c>
      <c r="E387" s="439"/>
      <c r="F387" s="96"/>
      <c r="G387" s="112">
        <f>G388+G389+G390</f>
        <v>1270000</v>
      </c>
      <c r="H387" s="112">
        <f>H388+H389+H390</f>
        <v>1270000</v>
      </c>
      <c r="I387" s="112">
        <f>I388+I389+I390</f>
        <v>1112668</v>
      </c>
      <c r="J387" s="271">
        <f t="shared" si="22"/>
        <v>0.8761165354330709</v>
      </c>
    </row>
    <row r="388" spans="1:10" ht="15.75" customHeight="1">
      <c r="A388" s="272"/>
      <c r="B388" s="96"/>
      <c r="C388" s="96" t="s">
        <v>185</v>
      </c>
      <c r="D388" s="435" t="s">
        <v>186</v>
      </c>
      <c r="E388" s="436"/>
      <c r="F388" s="96"/>
      <c r="G388" s="110">
        <v>900000</v>
      </c>
      <c r="H388" s="110">
        <v>900000</v>
      </c>
      <c r="I388" s="110">
        <v>862240</v>
      </c>
      <c r="J388" s="273">
        <f t="shared" si="22"/>
        <v>0.9580444444444445</v>
      </c>
    </row>
    <row r="389" spans="1:10" ht="15.75" customHeight="1">
      <c r="A389" s="272"/>
      <c r="B389" s="96"/>
      <c r="C389" s="96" t="s">
        <v>189</v>
      </c>
      <c r="D389" s="435" t="s">
        <v>190</v>
      </c>
      <c r="E389" s="436"/>
      <c r="F389" s="96"/>
      <c r="G389" s="110">
        <v>120000</v>
      </c>
      <c r="H389" s="110">
        <v>120000</v>
      </c>
      <c r="I389" s="110">
        <v>64056</v>
      </c>
      <c r="J389" s="273">
        <f t="shared" si="22"/>
        <v>0.5338</v>
      </c>
    </row>
    <row r="390" spans="1:10" ht="15.75" customHeight="1">
      <c r="A390" s="272"/>
      <c r="B390" s="96"/>
      <c r="C390" s="96" t="s">
        <v>191</v>
      </c>
      <c r="D390" s="435" t="s">
        <v>192</v>
      </c>
      <c r="E390" s="436"/>
      <c r="F390" s="96"/>
      <c r="G390" s="110">
        <v>250000</v>
      </c>
      <c r="H390" s="110">
        <v>250000</v>
      </c>
      <c r="I390" s="110">
        <v>186372</v>
      </c>
      <c r="J390" s="273">
        <f t="shared" si="22"/>
        <v>0.745488</v>
      </c>
    </row>
    <row r="391" spans="1:10" ht="15.75" customHeight="1">
      <c r="A391" s="275"/>
      <c r="B391" s="93" t="s">
        <v>197</v>
      </c>
      <c r="C391" s="102"/>
      <c r="D391" s="437" t="s">
        <v>198</v>
      </c>
      <c r="E391" s="439"/>
      <c r="F391" s="96"/>
      <c r="G391" s="112">
        <f>SUM(G392)</f>
        <v>350000</v>
      </c>
      <c r="H391" s="112">
        <f>SUM(H392)</f>
        <v>350000</v>
      </c>
      <c r="I391" s="112">
        <f>SUM(I392)</f>
        <v>355170</v>
      </c>
      <c r="J391" s="271">
        <f t="shared" si="22"/>
        <v>1.0147714285714287</v>
      </c>
    </row>
    <row r="392" spans="1:10" ht="15.75" customHeight="1">
      <c r="A392" s="272"/>
      <c r="B392" s="96"/>
      <c r="C392" s="96" t="s">
        <v>199</v>
      </c>
      <c r="D392" s="435" t="s">
        <v>200</v>
      </c>
      <c r="E392" s="436"/>
      <c r="F392" s="96"/>
      <c r="G392" s="111">
        <v>350000</v>
      </c>
      <c r="H392" s="111">
        <v>350000</v>
      </c>
      <c r="I392" s="111">
        <v>355170</v>
      </c>
      <c r="J392" s="273">
        <f t="shared" si="22"/>
        <v>1.0147714285714287</v>
      </c>
    </row>
    <row r="393" spans="1:10" ht="15.75" customHeight="1">
      <c r="A393" s="272"/>
      <c r="B393" s="96"/>
      <c r="C393" s="96"/>
      <c r="D393" s="96"/>
      <c r="E393" s="96"/>
      <c r="F393" s="96"/>
      <c r="G393" s="111"/>
      <c r="H393" s="111"/>
      <c r="I393" s="111"/>
      <c r="J393" s="293"/>
    </row>
    <row r="394" spans="1:10" ht="15.75" customHeight="1">
      <c r="A394" s="384" t="s">
        <v>312</v>
      </c>
      <c r="B394" s="385"/>
      <c r="C394" s="385"/>
      <c r="D394" s="385"/>
      <c r="E394" s="386"/>
      <c r="F394" s="114">
        <v>0</v>
      </c>
      <c r="G394" s="109">
        <f>G395+G398+G400</f>
        <v>983729</v>
      </c>
      <c r="H394" s="109">
        <f>H395+H398+H400</f>
        <v>160233</v>
      </c>
      <c r="I394" s="109">
        <f>I395+I398+I400</f>
        <v>93516</v>
      </c>
      <c r="J394" s="269">
        <f>I394/H394</f>
        <v>0.583625095954017</v>
      </c>
    </row>
    <row r="395" spans="1:10" ht="15.75" customHeight="1">
      <c r="A395" s="270" t="s">
        <v>23</v>
      </c>
      <c r="B395" s="93"/>
      <c r="C395" s="437" t="s">
        <v>150</v>
      </c>
      <c r="D395" s="438"/>
      <c r="E395" s="439"/>
      <c r="F395" s="96"/>
      <c r="G395" s="112">
        <f>SUM(G396)</f>
        <v>631800</v>
      </c>
      <c r="H395" s="112">
        <f>SUM(H396)</f>
        <v>0</v>
      </c>
      <c r="I395" s="112">
        <f>SUM(I396)</f>
        <v>0</v>
      </c>
      <c r="J395" s="273"/>
    </row>
    <row r="396" spans="1:10" ht="15.75" customHeight="1">
      <c r="A396" s="272"/>
      <c r="B396" s="93" t="s">
        <v>151</v>
      </c>
      <c r="C396" s="93"/>
      <c r="D396" s="437" t="s">
        <v>152</v>
      </c>
      <c r="E396" s="439"/>
      <c r="F396" s="96"/>
      <c r="G396" s="112">
        <f>SUM(G397:G397)</f>
        <v>631800</v>
      </c>
      <c r="H396" s="112">
        <f>SUM(H397:H397)</f>
        <v>0</v>
      </c>
      <c r="I396" s="112">
        <f>SUM(I397:I397)</f>
        <v>0</v>
      </c>
      <c r="J396" s="273"/>
    </row>
    <row r="397" spans="1:10" ht="15.75" customHeight="1">
      <c r="A397" s="283"/>
      <c r="B397" s="96"/>
      <c r="C397" s="96" t="s">
        <v>153</v>
      </c>
      <c r="D397" s="435" t="s">
        <v>154</v>
      </c>
      <c r="E397" s="436"/>
      <c r="F397" s="96"/>
      <c r="G397" s="110">
        <v>631800</v>
      </c>
      <c r="H397" s="110">
        <v>0</v>
      </c>
      <c r="I397" s="110">
        <v>0</v>
      </c>
      <c r="J397" s="273"/>
    </row>
    <row r="398" spans="1:10" ht="15.75" customHeight="1">
      <c r="A398" s="270" t="s">
        <v>25</v>
      </c>
      <c r="B398" s="93"/>
      <c r="C398" s="437" t="s">
        <v>166</v>
      </c>
      <c r="D398" s="438"/>
      <c r="E398" s="439"/>
      <c r="F398" s="96"/>
      <c r="G398" s="112">
        <f>SUM(G399:G399)</f>
        <v>97929</v>
      </c>
      <c r="H398" s="112">
        <f>SUM(H399:H399)</f>
        <v>0</v>
      </c>
      <c r="I398" s="112">
        <f>SUM(I399:I399)</f>
        <v>0</v>
      </c>
      <c r="J398" s="273"/>
    </row>
    <row r="399" spans="1:10" ht="15.75" customHeight="1">
      <c r="A399" s="272"/>
      <c r="B399" s="96"/>
      <c r="C399" s="96"/>
      <c r="D399" s="450" t="s">
        <v>167</v>
      </c>
      <c r="E399" s="451"/>
      <c r="F399" s="96"/>
      <c r="G399" s="110">
        <f>G396*0.155</f>
        <v>97929</v>
      </c>
      <c r="H399" s="110">
        <v>0</v>
      </c>
      <c r="I399" s="110">
        <v>0</v>
      </c>
      <c r="J399" s="273"/>
    </row>
    <row r="400" spans="1:10" ht="15.75" customHeight="1">
      <c r="A400" s="270" t="s">
        <v>27</v>
      </c>
      <c r="B400" s="93"/>
      <c r="C400" s="437" t="s">
        <v>28</v>
      </c>
      <c r="D400" s="438"/>
      <c r="E400" s="439"/>
      <c r="F400" s="96"/>
      <c r="G400" s="112">
        <f>G401+G407</f>
        <v>254000</v>
      </c>
      <c r="H400" s="112">
        <f>H401+H407+H404</f>
        <v>160233</v>
      </c>
      <c r="I400" s="112">
        <f>I401+I407+I404</f>
        <v>93516</v>
      </c>
      <c r="J400" s="271">
        <f aca="true" t="shared" si="23" ref="J400:J408">I400/H400</f>
        <v>0.583625095954017</v>
      </c>
    </row>
    <row r="401" spans="1:10" ht="15.75" customHeight="1">
      <c r="A401" s="275"/>
      <c r="B401" s="93" t="s">
        <v>169</v>
      </c>
      <c r="C401" s="102"/>
      <c r="D401" s="437" t="s">
        <v>170</v>
      </c>
      <c r="E401" s="439"/>
      <c r="F401" s="96"/>
      <c r="G401" s="112">
        <f>G402+G403</f>
        <v>200000</v>
      </c>
      <c r="H401" s="112">
        <f>H402+H403</f>
        <v>100000</v>
      </c>
      <c r="I401" s="112">
        <f>I402+I403</f>
        <v>75650</v>
      </c>
      <c r="J401" s="271">
        <f t="shared" si="23"/>
        <v>0.7565</v>
      </c>
    </row>
    <row r="402" spans="1:10" ht="15.75" customHeight="1">
      <c r="A402" s="272"/>
      <c r="B402" s="96"/>
      <c r="C402" s="96" t="s">
        <v>171</v>
      </c>
      <c r="D402" s="435" t="s">
        <v>172</v>
      </c>
      <c r="E402" s="436"/>
      <c r="F402" s="96"/>
      <c r="G402" s="110">
        <v>100000</v>
      </c>
      <c r="H402" s="110">
        <v>100000</v>
      </c>
      <c r="I402" s="110">
        <v>75650</v>
      </c>
      <c r="J402" s="273">
        <f t="shared" si="23"/>
        <v>0.7565</v>
      </c>
    </row>
    <row r="403" spans="1:10" ht="15.75" customHeight="1">
      <c r="A403" s="272"/>
      <c r="B403" s="96"/>
      <c r="C403" s="96" t="s">
        <v>174</v>
      </c>
      <c r="D403" s="435" t="s">
        <v>175</v>
      </c>
      <c r="E403" s="436"/>
      <c r="F403" s="96"/>
      <c r="G403" s="110">
        <v>100000</v>
      </c>
      <c r="H403" s="110">
        <v>0</v>
      </c>
      <c r="I403" s="110">
        <v>0</v>
      </c>
      <c r="J403" s="273"/>
    </row>
    <row r="404" spans="1:10" ht="15.75" customHeight="1">
      <c r="A404" s="272"/>
      <c r="B404" s="93" t="s">
        <v>183</v>
      </c>
      <c r="C404" s="102"/>
      <c r="D404" s="437" t="s">
        <v>184</v>
      </c>
      <c r="E404" s="439"/>
      <c r="F404" s="96"/>
      <c r="G404" s="110"/>
      <c r="H404" s="112">
        <f>SUM(H405:H406)</f>
        <v>6233</v>
      </c>
      <c r="I404" s="112">
        <f>SUM(I405:I406)</f>
        <v>6233</v>
      </c>
      <c r="J404" s="271">
        <f t="shared" si="23"/>
        <v>1</v>
      </c>
    </row>
    <row r="405" spans="1:10" ht="15.75" customHeight="1">
      <c r="A405" s="272"/>
      <c r="B405" s="96"/>
      <c r="C405" s="96" t="s">
        <v>189</v>
      </c>
      <c r="D405" s="435" t="s">
        <v>190</v>
      </c>
      <c r="E405" s="436"/>
      <c r="F405" s="96"/>
      <c r="G405" s="110"/>
      <c r="H405" s="110">
        <v>800</v>
      </c>
      <c r="I405" s="110">
        <v>800</v>
      </c>
      <c r="J405" s="273">
        <f t="shared" si="23"/>
        <v>1</v>
      </c>
    </row>
    <row r="406" spans="1:10" ht="15.75" customHeight="1">
      <c r="A406" s="272"/>
      <c r="B406" s="96"/>
      <c r="C406" s="96" t="s">
        <v>191</v>
      </c>
      <c r="D406" s="435" t="s">
        <v>192</v>
      </c>
      <c r="E406" s="436"/>
      <c r="F406" s="96"/>
      <c r="G406" s="110"/>
      <c r="H406" s="110">
        <v>5433</v>
      </c>
      <c r="I406" s="110">
        <v>5433</v>
      </c>
      <c r="J406" s="273">
        <f t="shared" si="23"/>
        <v>1</v>
      </c>
    </row>
    <row r="407" spans="1:10" ht="15.75" customHeight="1">
      <c r="A407" s="272"/>
      <c r="B407" s="93" t="s">
        <v>197</v>
      </c>
      <c r="C407" s="102"/>
      <c r="D407" s="437" t="s">
        <v>198</v>
      </c>
      <c r="E407" s="439"/>
      <c r="F407" s="96"/>
      <c r="G407" s="112">
        <f>SUM(G408)</f>
        <v>54000</v>
      </c>
      <c r="H407" s="112">
        <f>SUM(H408)</f>
        <v>54000</v>
      </c>
      <c r="I407" s="112">
        <f>SUM(I408)</f>
        <v>11633</v>
      </c>
      <c r="J407" s="271">
        <f t="shared" si="23"/>
        <v>0.21542592592592594</v>
      </c>
    </row>
    <row r="408" spans="1:10" ht="15.75" customHeight="1">
      <c r="A408" s="272"/>
      <c r="B408" s="96"/>
      <c r="C408" s="96" t="s">
        <v>199</v>
      </c>
      <c r="D408" s="435" t="s">
        <v>200</v>
      </c>
      <c r="E408" s="436"/>
      <c r="F408" s="96"/>
      <c r="G408" s="111">
        <v>54000</v>
      </c>
      <c r="H408" s="111">
        <v>54000</v>
      </c>
      <c r="I408" s="111">
        <v>11633</v>
      </c>
      <c r="J408" s="273">
        <f t="shared" si="23"/>
        <v>0.21542592592592594</v>
      </c>
    </row>
    <row r="409" spans="1:10" ht="15.75" customHeight="1">
      <c r="A409" s="272"/>
      <c r="B409" s="96"/>
      <c r="C409" s="96"/>
      <c r="D409" s="96"/>
      <c r="E409" s="96"/>
      <c r="F409" s="96"/>
      <c r="G409" s="111"/>
      <c r="H409" s="111"/>
      <c r="I409" s="111"/>
      <c r="J409" s="293"/>
    </row>
    <row r="410" spans="1:10" ht="15.75" customHeight="1">
      <c r="A410" s="384" t="s">
        <v>313</v>
      </c>
      <c r="B410" s="385"/>
      <c r="C410" s="385"/>
      <c r="D410" s="385"/>
      <c r="E410" s="386"/>
      <c r="F410" s="114"/>
      <c r="G410" s="109">
        <f>G414</f>
        <v>339000</v>
      </c>
      <c r="H410" s="109">
        <f>H414+H411</f>
        <v>675400</v>
      </c>
      <c r="I410" s="109">
        <f>I414+I411</f>
        <v>432832</v>
      </c>
      <c r="J410" s="269">
        <f>I410/H410</f>
        <v>0.6408528279538052</v>
      </c>
    </row>
    <row r="411" spans="1:10" ht="16.5" customHeight="1">
      <c r="A411" s="270" t="s">
        <v>23</v>
      </c>
      <c r="B411" s="93"/>
      <c r="C411" s="437" t="s">
        <v>150</v>
      </c>
      <c r="D411" s="438"/>
      <c r="E411" s="439"/>
      <c r="F411" s="180"/>
      <c r="G411" s="147">
        <f>G412</f>
        <v>0</v>
      </c>
      <c r="H411" s="147">
        <f>H412</f>
        <v>334800</v>
      </c>
      <c r="I411" s="147">
        <f>I412</f>
        <v>334800</v>
      </c>
      <c r="J411" s="271">
        <f aca="true" t="shared" si="24" ref="J411:J422">I411/H411</f>
        <v>1</v>
      </c>
    </row>
    <row r="412" spans="1:10" ht="16.5" customHeight="1">
      <c r="A412" s="272"/>
      <c r="B412" s="93" t="s">
        <v>151</v>
      </c>
      <c r="C412" s="93"/>
      <c r="D412" s="437" t="s">
        <v>152</v>
      </c>
      <c r="E412" s="439"/>
      <c r="F412" s="180"/>
      <c r="G412" s="147">
        <f>SUM(G413)</f>
        <v>0</v>
      </c>
      <c r="H412" s="147">
        <f>SUM(H413)</f>
        <v>334800</v>
      </c>
      <c r="I412" s="147">
        <f>SUM(I413)</f>
        <v>334800</v>
      </c>
      <c r="J412" s="271">
        <f t="shared" si="24"/>
        <v>1</v>
      </c>
    </row>
    <row r="413" spans="1:10" ht="16.5" customHeight="1">
      <c r="A413" s="283"/>
      <c r="B413" s="96"/>
      <c r="C413" s="96" t="s">
        <v>153</v>
      </c>
      <c r="D413" s="435" t="s">
        <v>154</v>
      </c>
      <c r="E413" s="436"/>
      <c r="F413" s="180"/>
      <c r="G413" s="150">
        <v>0</v>
      </c>
      <c r="H413" s="150">
        <v>334800</v>
      </c>
      <c r="I413" s="150">
        <v>334800</v>
      </c>
      <c r="J413" s="273">
        <f t="shared" si="24"/>
        <v>1</v>
      </c>
    </row>
    <row r="414" spans="1:10" ht="15.75" customHeight="1">
      <c r="A414" s="270" t="s">
        <v>27</v>
      </c>
      <c r="B414" s="93"/>
      <c r="C414" s="437" t="s">
        <v>28</v>
      </c>
      <c r="D414" s="438"/>
      <c r="E414" s="439"/>
      <c r="F414" s="96"/>
      <c r="G414" s="112">
        <f>G415+G421+G417</f>
        <v>339000</v>
      </c>
      <c r="H414" s="112">
        <f>H415+H421+H417</f>
        <v>340600</v>
      </c>
      <c r="I414" s="112">
        <f>I415+I421+I417</f>
        <v>98032</v>
      </c>
      <c r="J414" s="271">
        <f t="shared" si="24"/>
        <v>0.28782149148561365</v>
      </c>
    </row>
    <row r="415" spans="1:10" ht="15.75" customHeight="1">
      <c r="A415" s="275"/>
      <c r="B415" s="93" t="s">
        <v>169</v>
      </c>
      <c r="C415" s="102"/>
      <c r="D415" s="437" t="s">
        <v>170</v>
      </c>
      <c r="E415" s="439"/>
      <c r="F415" s="96"/>
      <c r="G415" s="112">
        <f>G416+G423</f>
        <v>50000</v>
      </c>
      <c r="H415" s="112">
        <f>H416+H423</f>
        <v>50000</v>
      </c>
      <c r="I415" s="112">
        <f>I416+I423</f>
        <v>0</v>
      </c>
      <c r="J415" s="271">
        <f t="shared" si="24"/>
        <v>0</v>
      </c>
    </row>
    <row r="416" spans="1:10" ht="15.75" customHeight="1">
      <c r="A416" s="272"/>
      <c r="B416" s="96"/>
      <c r="C416" s="96" t="s">
        <v>171</v>
      </c>
      <c r="D416" s="435" t="s">
        <v>172</v>
      </c>
      <c r="E416" s="436"/>
      <c r="F416" s="96"/>
      <c r="G416" s="110">
        <v>50000</v>
      </c>
      <c r="H416" s="110">
        <v>50000</v>
      </c>
      <c r="I416" s="110">
        <v>0</v>
      </c>
      <c r="J416" s="273">
        <f t="shared" si="24"/>
        <v>0</v>
      </c>
    </row>
    <row r="417" spans="1:10" ht="15.75" customHeight="1">
      <c r="A417" s="272"/>
      <c r="B417" s="127" t="s">
        <v>183</v>
      </c>
      <c r="C417" s="445" t="s">
        <v>184</v>
      </c>
      <c r="D417" s="446"/>
      <c r="E417" s="447"/>
      <c r="F417" s="96"/>
      <c r="G417" s="112">
        <f>SUM(G418:G420)</f>
        <v>217000</v>
      </c>
      <c r="H417" s="112">
        <f>SUM(H418:H420)</f>
        <v>218600</v>
      </c>
      <c r="I417" s="112">
        <f>SUM(I418:I420)</f>
        <v>77190</v>
      </c>
      <c r="J417" s="271">
        <f t="shared" si="24"/>
        <v>0.35311070448307413</v>
      </c>
    </row>
    <row r="418" spans="1:10" ht="15.75" customHeight="1">
      <c r="A418" s="272"/>
      <c r="B418" s="96"/>
      <c r="C418" s="96" t="s">
        <v>185</v>
      </c>
      <c r="D418" s="435" t="s">
        <v>186</v>
      </c>
      <c r="E418" s="436"/>
      <c r="F418" s="96"/>
      <c r="G418" s="110">
        <v>140000</v>
      </c>
      <c r="H418" s="110">
        <v>140000</v>
      </c>
      <c r="I418" s="110">
        <v>0</v>
      </c>
      <c r="J418" s="273">
        <f t="shared" si="24"/>
        <v>0</v>
      </c>
    </row>
    <row r="419" spans="1:10" ht="15.75" customHeight="1">
      <c r="A419" s="272"/>
      <c r="B419" s="96"/>
      <c r="C419" s="96" t="s">
        <v>189</v>
      </c>
      <c r="D419" s="435" t="s">
        <v>190</v>
      </c>
      <c r="E419" s="436"/>
      <c r="F419" s="96"/>
      <c r="G419" s="110"/>
      <c r="H419" s="110">
        <v>1600</v>
      </c>
      <c r="I419" s="110">
        <v>1600</v>
      </c>
      <c r="J419" s="273">
        <f t="shared" si="24"/>
        <v>1</v>
      </c>
    </row>
    <row r="420" spans="1:10" ht="15.75" customHeight="1">
      <c r="A420" s="272"/>
      <c r="B420" s="96"/>
      <c r="C420" s="96" t="s">
        <v>191</v>
      </c>
      <c r="D420" s="435" t="s">
        <v>192</v>
      </c>
      <c r="E420" s="436"/>
      <c r="F420" s="96"/>
      <c r="G420" s="110">
        <v>77000</v>
      </c>
      <c r="H420" s="110">
        <v>77000</v>
      </c>
      <c r="I420" s="110">
        <v>75590</v>
      </c>
      <c r="J420" s="273">
        <f t="shared" si="24"/>
        <v>0.9816883116883117</v>
      </c>
    </row>
    <row r="421" spans="1:10" ht="15.75" customHeight="1">
      <c r="A421" s="272"/>
      <c r="B421" s="93" t="s">
        <v>197</v>
      </c>
      <c r="C421" s="102"/>
      <c r="D421" s="437" t="s">
        <v>198</v>
      </c>
      <c r="E421" s="439"/>
      <c r="F421" s="96"/>
      <c r="G421" s="112">
        <f>SUM(G422)</f>
        <v>72000</v>
      </c>
      <c r="H421" s="112">
        <f>SUM(H422)</f>
        <v>72000</v>
      </c>
      <c r="I421" s="112">
        <f>SUM(I422)</f>
        <v>20842</v>
      </c>
      <c r="J421" s="271">
        <f t="shared" si="24"/>
        <v>0.28947222222222224</v>
      </c>
    </row>
    <row r="422" spans="1:10" ht="15.75" customHeight="1">
      <c r="A422" s="272"/>
      <c r="B422" s="96"/>
      <c r="C422" s="96" t="s">
        <v>199</v>
      </c>
      <c r="D422" s="435" t="s">
        <v>200</v>
      </c>
      <c r="E422" s="436"/>
      <c r="F422" s="96"/>
      <c r="G422" s="110">
        <v>72000</v>
      </c>
      <c r="H422" s="110">
        <v>72000</v>
      </c>
      <c r="I422" s="110">
        <v>20842</v>
      </c>
      <c r="J422" s="273">
        <f t="shared" si="24"/>
        <v>0.28947222222222224</v>
      </c>
    </row>
    <row r="423" spans="1:10" ht="15.75" customHeight="1">
      <c r="A423" s="272"/>
      <c r="B423" s="96"/>
      <c r="C423" s="96"/>
      <c r="D423" s="96"/>
      <c r="E423" s="96"/>
      <c r="F423" s="96"/>
      <c r="G423" s="110"/>
      <c r="H423" s="110"/>
      <c r="I423" s="110"/>
      <c r="J423" s="292"/>
    </row>
    <row r="424" spans="1:10" ht="15.75" customHeight="1">
      <c r="A424" s="384" t="s">
        <v>145</v>
      </c>
      <c r="B424" s="385"/>
      <c r="C424" s="385"/>
      <c r="D424" s="385"/>
      <c r="E424" s="386"/>
      <c r="F424" s="114">
        <v>2.5</v>
      </c>
      <c r="G424" s="109">
        <f>G425+G431+G434+G451</f>
        <v>23165994.355</v>
      </c>
      <c r="H424" s="109">
        <f>H425+H431+H434+H451</f>
        <v>20296994</v>
      </c>
      <c r="I424" s="109">
        <f>I425+I431+I434+I451</f>
        <v>18639583</v>
      </c>
      <c r="J424" s="269">
        <f>I424/H424</f>
        <v>0.918342046117765</v>
      </c>
    </row>
    <row r="425" spans="1:10" ht="15.75" customHeight="1">
      <c r="A425" s="270" t="s">
        <v>23</v>
      </c>
      <c r="B425" s="93"/>
      <c r="C425" s="437" t="s">
        <v>150</v>
      </c>
      <c r="D425" s="438"/>
      <c r="E425" s="439"/>
      <c r="F425" s="96"/>
      <c r="G425" s="112">
        <f>G426</f>
        <v>8429441</v>
      </c>
      <c r="H425" s="112">
        <f>H426</f>
        <v>8429441</v>
      </c>
      <c r="I425" s="112">
        <f>I426</f>
        <v>8351228</v>
      </c>
      <c r="J425" s="273">
        <f aca="true" t="shared" si="25" ref="J425:J454">I425/H425</f>
        <v>0.9907214487888343</v>
      </c>
    </row>
    <row r="426" spans="1:10" ht="15.75" customHeight="1">
      <c r="A426" s="272"/>
      <c r="B426" s="93" t="s">
        <v>151</v>
      </c>
      <c r="C426" s="93"/>
      <c r="D426" s="437" t="s">
        <v>152</v>
      </c>
      <c r="E426" s="439"/>
      <c r="F426" s="96"/>
      <c r="G426" s="112">
        <f>SUM(G427:G430)</f>
        <v>8429441</v>
      </c>
      <c r="H426" s="112">
        <f>SUM(H427:H430)</f>
        <v>8429441</v>
      </c>
      <c r="I426" s="112">
        <f>SUM(I427:I430)</f>
        <v>8351228</v>
      </c>
      <c r="J426" s="273">
        <f t="shared" si="25"/>
        <v>0.9907214487888343</v>
      </c>
    </row>
    <row r="427" spans="1:10" ht="15.75" customHeight="1">
      <c r="A427" s="283"/>
      <c r="B427" s="96"/>
      <c r="C427" s="96" t="s">
        <v>153</v>
      </c>
      <c r="D427" s="435" t="s">
        <v>154</v>
      </c>
      <c r="E427" s="436"/>
      <c r="F427" s="96"/>
      <c r="G427" s="110">
        <f>7278144*1.04</f>
        <v>7569269.760000001</v>
      </c>
      <c r="H427" s="110">
        <v>7569270</v>
      </c>
      <c r="I427" s="110">
        <v>7493027</v>
      </c>
      <c r="J427" s="273">
        <f t="shared" si="25"/>
        <v>0.9899272981410361</v>
      </c>
    </row>
    <row r="428" spans="1:10" ht="15.75" customHeight="1">
      <c r="A428" s="283"/>
      <c r="B428" s="96"/>
      <c r="C428" s="96" t="s">
        <v>311</v>
      </c>
      <c r="D428" s="435" t="s">
        <v>321</v>
      </c>
      <c r="E428" s="436"/>
      <c r="F428" s="96"/>
      <c r="G428" s="110">
        <f>303256*1.04</f>
        <v>315386.24</v>
      </c>
      <c r="H428" s="110">
        <v>315386</v>
      </c>
      <c r="I428" s="110">
        <v>315416</v>
      </c>
      <c r="J428" s="273">
        <f t="shared" si="25"/>
        <v>1.0000951215336127</v>
      </c>
    </row>
    <row r="429" spans="1:10" ht="15.75" customHeight="1">
      <c r="A429" s="272"/>
      <c r="B429" s="96"/>
      <c r="C429" s="96" t="s">
        <v>155</v>
      </c>
      <c r="D429" s="435" t="s">
        <v>156</v>
      </c>
      <c r="E429" s="436"/>
      <c r="F429" s="96"/>
      <c r="G429" s="110">
        <v>434785</v>
      </c>
      <c r="H429" s="110">
        <v>434785</v>
      </c>
      <c r="I429" s="110">
        <v>434785</v>
      </c>
      <c r="J429" s="273">
        <f t="shared" si="25"/>
        <v>1</v>
      </c>
    </row>
    <row r="430" spans="1:10" ht="15.75" customHeight="1">
      <c r="A430" s="272"/>
      <c r="B430" s="96"/>
      <c r="C430" s="96" t="s">
        <v>218</v>
      </c>
      <c r="D430" s="435" t="s">
        <v>152</v>
      </c>
      <c r="E430" s="436"/>
      <c r="F430" s="96"/>
      <c r="G430" s="110">
        <v>110000</v>
      </c>
      <c r="H430" s="110">
        <v>110000</v>
      </c>
      <c r="I430" s="110">
        <v>108000</v>
      </c>
      <c r="J430" s="273">
        <f t="shared" si="25"/>
        <v>0.9818181818181818</v>
      </c>
    </row>
    <row r="431" spans="1:10" ht="15.75" customHeight="1">
      <c r="A431" s="270" t="s">
        <v>25</v>
      </c>
      <c r="B431" s="93"/>
      <c r="C431" s="437" t="s">
        <v>166</v>
      </c>
      <c r="D431" s="438"/>
      <c r="E431" s="439"/>
      <c r="F431" s="96"/>
      <c r="G431" s="112">
        <f>SUM(G432:G433)</f>
        <v>1306563.355</v>
      </c>
      <c r="H431" s="112">
        <f>SUM(H432:H433)</f>
        <v>1306563</v>
      </c>
      <c r="I431" s="112">
        <f>SUM(I432:I433)</f>
        <v>604482</v>
      </c>
      <c r="J431" s="273">
        <f t="shared" si="25"/>
        <v>0.46265048068864645</v>
      </c>
    </row>
    <row r="432" spans="1:10" ht="15.75" customHeight="1">
      <c r="A432" s="272"/>
      <c r="B432" s="96"/>
      <c r="C432" s="96"/>
      <c r="D432" s="450" t="s">
        <v>167</v>
      </c>
      <c r="E432" s="451"/>
      <c r="F432" s="96"/>
      <c r="G432" s="110">
        <f>G426*0.155</f>
        <v>1306563.355</v>
      </c>
      <c r="H432" s="110">
        <v>1306563</v>
      </c>
      <c r="I432" s="110">
        <v>604482</v>
      </c>
      <c r="J432" s="273">
        <f t="shared" si="25"/>
        <v>0.46265048068864645</v>
      </c>
    </row>
    <row r="433" spans="1:10" ht="15.75" customHeight="1">
      <c r="A433" s="272"/>
      <c r="B433" s="96"/>
      <c r="C433" s="96"/>
      <c r="D433" s="450" t="s">
        <v>168</v>
      </c>
      <c r="E433" s="451"/>
      <c r="F433" s="96"/>
      <c r="G433" s="110"/>
      <c r="H433" s="110"/>
      <c r="I433" s="110"/>
      <c r="J433" s="273"/>
    </row>
    <row r="434" spans="1:10" ht="15.75" customHeight="1">
      <c r="A434" s="270" t="s">
        <v>27</v>
      </c>
      <c r="B434" s="93"/>
      <c r="C434" s="437" t="s">
        <v>28</v>
      </c>
      <c r="D434" s="438"/>
      <c r="E434" s="439"/>
      <c r="F434" s="96"/>
      <c r="G434" s="112">
        <f>G435+G438+G441+G445+G448</f>
        <v>13364600</v>
      </c>
      <c r="H434" s="112">
        <f>H435+H438+H441+H445+H448</f>
        <v>10421600</v>
      </c>
      <c r="I434" s="112">
        <f>I435+I438+I441+I445+I448</f>
        <v>9553068</v>
      </c>
      <c r="J434" s="273">
        <f t="shared" si="25"/>
        <v>0.9166603976356797</v>
      </c>
    </row>
    <row r="435" spans="1:10" ht="15.75" customHeight="1">
      <c r="A435" s="275"/>
      <c r="B435" s="93" t="s">
        <v>169</v>
      </c>
      <c r="C435" s="102"/>
      <c r="D435" s="437" t="s">
        <v>170</v>
      </c>
      <c r="E435" s="439"/>
      <c r="F435" s="96"/>
      <c r="G435" s="112">
        <f>G436+G437</f>
        <v>2374600</v>
      </c>
      <c r="H435" s="112">
        <f>H436+H437</f>
        <v>1620600</v>
      </c>
      <c r="I435" s="112">
        <f>I436+I437</f>
        <v>1597756</v>
      </c>
      <c r="J435" s="273">
        <f t="shared" si="25"/>
        <v>0.9859039861779588</v>
      </c>
    </row>
    <row r="436" spans="1:10" ht="15.75" customHeight="1">
      <c r="A436" s="272"/>
      <c r="B436" s="96"/>
      <c r="C436" s="96" t="s">
        <v>171</v>
      </c>
      <c r="D436" s="435" t="s">
        <v>172</v>
      </c>
      <c r="E436" s="436"/>
      <c r="F436" s="96"/>
      <c r="G436" s="110">
        <v>600000</v>
      </c>
      <c r="H436" s="110">
        <v>646000</v>
      </c>
      <c r="I436" s="110">
        <v>645733</v>
      </c>
      <c r="J436" s="273">
        <f t="shared" si="25"/>
        <v>0.9995866873065016</v>
      </c>
    </row>
    <row r="437" spans="1:10" ht="15.75" customHeight="1">
      <c r="A437" s="272"/>
      <c r="B437" s="96"/>
      <c r="C437" s="96" t="s">
        <v>174</v>
      </c>
      <c r="D437" s="435" t="s">
        <v>175</v>
      </c>
      <c r="E437" s="436"/>
      <c r="F437" s="96"/>
      <c r="G437" s="110">
        <f>1800000-25400</f>
        <v>1774600</v>
      </c>
      <c r="H437" s="110">
        <v>974600</v>
      </c>
      <c r="I437" s="110">
        <v>952023</v>
      </c>
      <c r="J437" s="273">
        <f t="shared" si="25"/>
        <v>0.9768345988097681</v>
      </c>
    </row>
    <row r="438" spans="1:10" ht="15.75" customHeight="1">
      <c r="A438" s="275"/>
      <c r="B438" s="93" t="s">
        <v>177</v>
      </c>
      <c r="C438" s="102"/>
      <c r="D438" s="437" t="s">
        <v>178</v>
      </c>
      <c r="E438" s="439"/>
      <c r="F438" s="96"/>
      <c r="G438" s="112">
        <f>G439+G440</f>
        <v>640000</v>
      </c>
      <c r="H438" s="112">
        <f>H439+H440</f>
        <v>710000</v>
      </c>
      <c r="I438" s="112">
        <f>I439+I440</f>
        <v>251716</v>
      </c>
      <c r="J438" s="273">
        <f t="shared" si="25"/>
        <v>0.35452957746478875</v>
      </c>
    </row>
    <row r="439" spans="1:10" ht="15.75" customHeight="1">
      <c r="A439" s="272"/>
      <c r="B439" s="96"/>
      <c r="C439" s="96" t="s">
        <v>179</v>
      </c>
      <c r="D439" s="435" t="s">
        <v>180</v>
      </c>
      <c r="E439" s="436"/>
      <c r="F439" s="96"/>
      <c r="G439" s="110">
        <v>100000</v>
      </c>
      <c r="H439" s="110">
        <v>170000</v>
      </c>
      <c r="I439" s="110">
        <v>170341</v>
      </c>
      <c r="J439" s="273">
        <f t="shared" si="25"/>
        <v>1.0020058823529412</v>
      </c>
    </row>
    <row r="440" spans="1:10" ht="15.75" customHeight="1">
      <c r="A440" s="272"/>
      <c r="B440" s="96"/>
      <c r="C440" s="96" t="s">
        <v>181</v>
      </c>
      <c r="D440" s="435" t="s">
        <v>182</v>
      </c>
      <c r="E440" s="436"/>
      <c r="F440" s="96"/>
      <c r="G440" s="110">
        <v>540000</v>
      </c>
      <c r="H440" s="110">
        <v>540000</v>
      </c>
      <c r="I440" s="110">
        <v>81375</v>
      </c>
      <c r="J440" s="273">
        <f t="shared" si="25"/>
        <v>0.15069444444444444</v>
      </c>
    </row>
    <row r="441" spans="1:10" ht="15.75" customHeight="1">
      <c r="A441" s="275"/>
      <c r="B441" s="93" t="s">
        <v>183</v>
      </c>
      <c r="C441" s="102"/>
      <c r="D441" s="437" t="s">
        <v>184</v>
      </c>
      <c r="E441" s="439"/>
      <c r="F441" s="96"/>
      <c r="G441" s="112">
        <f>G442+G443+G444</f>
        <v>8200000</v>
      </c>
      <c r="H441" s="112">
        <f>H442+H443+H444</f>
        <v>7200000</v>
      </c>
      <c r="I441" s="112">
        <f>I442+I443+I444</f>
        <v>6954315</v>
      </c>
      <c r="J441" s="273">
        <f t="shared" si="25"/>
        <v>0.9658770833333333</v>
      </c>
    </row>
    <row r="442" spans="1:10" ht="15.75" customHeight="1">
      <c r="A442" s="272"/>
      <c r="B442" s="96"/>
      <c r="C442" s="96" t="s">
        <v>185</v>
      </c>
      <c r="D442" s="435" t="s">
        <v>186</v>
      </c>
      <c r="E442" s="436"/>
      <c r="F442" s="96"/>
      <c r="G442" s="110">
        <v>1000000</v>
      </c>
      <c r="H442" s="110">
        <v>1000000</v>
      </c>
      <c r="I442" s="110">
        <v>862255</v>
      </c>
      <c r="J442" s="273">
        <f t="shared" si="25"/>
        <v>0.862255</v>
      </c>
    </row>
    <row r="443" spans="1:10" ht="15.75" customHeight="1">
      <c r="A443" s="272"/>
      <c r="B443" s="96"/>
      <c r="C443" s="96" t="s">
        <v>189</v>
      </c>
      <c r="D443" s="435" t="s">
        <v>190</v>
      </c>
      <c r="E443" s="436"/>
      <c r="F443" s="96"/>
      <c r="G443" s="110">
        <v>200000</v>
      </c>
      <c r="H443" s="110">
        <v>200000</v>
      </c>
      <c r="I443" s="110">
        <v>110629</v>
      </c>
      <c r="J443" s="273">
        <f t="shared" si="25"/>
        <v>0.553145</v>
      </c>
    </row>
    <row r="444" spans="1:10" ht="15.75" customHeight="1">
      <c r="A444" s="272"/>
      <c r="B444" s="96"/>
      <c r="C444" s="96" t="s">
        <v>191</v>
      </c>
      <c r="D444" s="435" t="s">
        <v>192</v>
      </c>
      <c r="E444" s="436"/>
      <c r="F444" s="96"/>
      <c r="G444" s="110">
        <v>7000000</v>
      </c>
      <c r="H444" s="110">
        <v>6000000</v>
      </c>
      <c r="I444" s="110">
        <v>5981431</v>
      </c>
      <c r="J444" s="273">
        <f t="shared" si="25"/>
        <v>0.9969051666666666</v>
      </c>
    </row>
    <row r="445" spans="1:10" ht="15.75" customHeight="1">
      <c r="A445" s="275"/>
      <c r="B445" s="93" t="s">
        <v>193</v>
      </c>
      <c r="C445" s="102"/>
      <c r="D445" s="437" t="s">
        <v>194</v>
      </c>
      <c r="E445" s="439"/>
      <c r="F445" s="96"/>
      <c r="G445" s="112">
        <f>G446+G447</f>
        <v>150000</v>
      </c>
      <c r="H445" s="112">
        <f>H446+H447</f>
        <v>186000</v>
      </c>
      <c r="I445" s="112">
        <f>I446+I447</f>
        <v>85680</v>
      </c>
      <c r="J445" s="273">
        <f t="shared" si="25"/>
        <v>0.46064516129032257</v>
      </c>
    </row>
    <row r="446" spans="1:10" ht="15.75" customHeight="1">
      <c r="A446" s="272"/>
      <c r="B446" s="96"/>
      <c r="C446" s="96" t="s">
        <v>195</v>
      </c>
      <c r="D446" s="435" t="s">
        <v>196</v>
      </c>
      <c r="E446" s="436"/>
      <c r="F446" s="96"/>
      <c r="G446" s="110">
        <v>50000</v>
      </c>
      <c r="H446" s="110">
        <v>86000</v>
      </c>
      <c r="I446" s="110">
        <v>85680</v>
      </c>
      <c r="J446" s="273">
        <f t="shared" si="25"/>
        <v>0.9962790697674418</v>
      </c>
    </row>
    <row r="447" spans="1:10" ht="15.75" customHeight="1">
      <c r="A447" s="272"/>
      <c r="B447" s="96"/>
      <c r="C447" s="96" t="s">
        <v>239</v>
      </c>
      <c r="D447" s="435" t="s">
        <v>240</v>
      </c>
      <c r="E447" s="436"/>
      <c r="F447" s="96"/>
      <c r="G447" s="110">
        <v>100000</v>
      </c>
      <c r="H447" s="110">
        <v>100000</v>
      </c>
      <c r="I447" s="110">
        <v>0</v>
      </c>
      <c r="J447" s="273">
        <f t="shared" si="25"/>
        <v>0</v>
      </c>
    </row>
    <row r="448" spans="1:10" ht="15.75" customHeight="1">
      <c r="A448" s="275"/>
      <c r="B448" s="93" t="s">
        <v>197</v>
      </c>
      <c r="C448" s="102"/>
      <c r="D448" s="437" t="s">
        <v>198</v>
      </c>
      <c r="E448" s="439"/>
      <c r="F448" s="96"/>
      <c r="G448" s="112">
        <f>SUM(G449)</f>
        <v>2000000</v>
      </c>
      <c r="H448" s="112">
        <f>SUM(H449:H450)</f>
        <v>705000</v>
      </c>
      <c r="I448" s="112">
        <f>SUM(I449:I450)</f>
        <v>663601</v>
      </c>
      <c r="J448" s="273">
        <f t="shared" si="25"/>
        <v>0.9412780141843972</v>
      </c>
    </row>
    <row r="449" spans="1:10" ht="15.75" customHeight="1">
      <c r="A449" s="272"/>
      <c r="B449" s="96"/>
      <c r="C449" s="96" t="s">
        <v>199</v>
      </c>
      <c r="D449" s="435" t="s">
        <v>200</v>
      </c>
      <c r="E449" s="436"/>
      <c r="F449" s="96"/>
      <c r="G449" s="110">
        <v>2000000</v>
      </c>
      <c r="H449" s="110">
        <v>700000</v>
      </c>
      <c r="I449" s="110">
        <v>658601</v>
      </c>
      <c r="J449" s="273">
        <f t="shared" si="25"/>
        <v>0.9408585714285714</v>
      </c>
    </row>
    <row r="450" spans="1:10" ht="15.75" customHeight="1">
      <c r="A450" s="272"/>
      <c r="B450" s="96"/>
      <c r="C450" s="96" t="s">
        <v>347</v>
      </c>
      <c r="D450" s="435" t="s">
        <v>348</v>
      </c>
      <c r="E450" s="436"/>
      <c r="F450" s="96"/>
      <c r="G450" s="110">
        <v>0</v>
      </c>
      <c r="H450" s="110">
        <v>5000</v>
      </c>
      <c r="I450" s="110">
        <v>5000</v>
      </c>
      <c r="J450" s="273">
        <f t="shared" si="25"/>
        <v>1</v>
      </c>
    </row>
    <row r="451" spans="1:10" ht="15.75" customHeight="1">
      <c r="A451" s="276" t="s">
        <v>34</v>
      </c>
      <c r="B451" s="96"/>
      <c r="C451" s="437" t="s">
        <v>35</v>
      </c>
      <c r="D451" s="438"/>
      <c r="E451" s="439"/>
      <c r="F451" s="96"/>
      <c r="G451" s="112">
        <f>SUM(G452:G454)</f>
        <v>65390</v>
      </c>
      <c r="H451" s="112">
        <f>SUM(H452:H454)</f>
        <v>139390</v>
      </c>
      <c r="I451" s="112">
        <f>SUM(I452:I454)</f>
        <v>130805</v>
      </c>
      <c r="J451" s="273">
        <f t="shared" si="25"/>
        <v>0.9384102159408853</v>
      </c>
    </row>
    <row r="452" spans="1:10" ht="15.75" customHeight="1">
      <c r="A452" s="276"/>
      <c r="B452" s="93" t="s">
        <v>357</v>
      </c>
      <c r="C452" s="93"/>
      <c r="D452" s="435" t="s">
        <v>358</v>
      </c>
      <c r="E452" s="436"/>
      <c r="F452" s="96"/>
      <c r="G452" s="110">
        <v>20000</v>
      </c>
      <c r="H452" s="110">
        <v>20000</v>
      </c>
      <c r="I452" s="110">
        <v>12583</v>
      </c>
      <c r="J452" s="273">
        <f t="shared" si="25"/>
        <v>0.62915</v>
      </c>
    </row>
    <row r="453" spans="1:10" ht="15.75" customHeight="1">
      <c r="A453" s="272"/>
      <c r="B453" s="93" t="s">
        <v>318</v>
      </c>
      <c r="C453" s="96"/>
      <c r="D453" s="435" t="s">
        <v>317</v>
      </c>
      <c r="E453" s="436"/>
      <c r="F453" s="96"/>
      <c r="G453" s="110">
        <v>31488</v>
      </c>
      <c r="H453" s="110">
        <v>91488</v>
      </c>
      <c r="I453" s="110">
        <v>90413</v>
      </c>
      <c r="J453" s="273">
        <f t="shared" si="25"/>
        <v>0.9882498251136761</v>
      </c>
    </row>
    <row r="454" spans="1:10" ht="15.75" customHeight="1">
      <c r="A454" s="272"/>
      <c r="B454" s="93" t="s">
        <v>225</v>
      </c>
      <c r="C454" s="96"/>
      <c r="D454" s="435" t="s">
        <v>226</v>
      </c>
      <c r="E454" s="436"/>
      <c r="F454" s="96"/>
      <c r="G454" s="110">
        <f>8502+5400</f>
        <v>13902</v>
      </c>
      <c r="H454" s="110">
        <v>27902</v>
      </c>
      <c r="I454" s="110">
        <v>27809</v>
      </c>
      <c r="J454" s="273">
        <f t="shared" si="25"/>
        <v>0.996666905598165</v>
      </c>
    </row>
    <row r="455" spans="1:10" ht="15.75" customHeight="1">
      <c r="A455" s="272"/>
      <c r="B455" s="96"/>
      <c r="C455" s="96"/>
      <c r="D455" s="96"/>
      <c r="E455" s="96"/>
      <c r="F455" s="96"/>
      <c r="G455" s="110"/>
      <c r="H455" s="110"/>
      <c r="I455" s="110"/>
      <c r="J455" s="292"/>
    </row>
    <row r="456" spans="1:10" ht="15.75" customHeight="1">
      <c r="A456" s="384" t="s">
        <v>257</v>
      </c>
      <c r="B456" s="385"/>
      <c r="C456" s="385"/>
      <c r="D456" s="385"/>
      <c r="E456" s="386"/>
      <c r="F456" s="107"/>
      <c r="G456" s="109">
        <f>G457</f>
        <v>1000000</v>
      </c>
      <c r="H456" s="109">
        <f>H457</f>
        <v>1861000</v>
      </c>
      <c r="I456" s="109">
        <f>I457</f>
        <v>1792483</v>
      </c>
      <c r="J456" s="269">
        <f>I456/H456</f>
        <v>0.963182697474476</v>
      </c>
    </row>
    <row r="457" spans="1:10" ht="15.75" customHeight="1">
      <c r="A457" s="270" t="s">
        <v>27</v>
      </c>
      <c r="B457" s="127"/>
      <c r="C457" s="445" t="s">
        <v>28</v>
      </c>
      <c r="D457" s="446"/>
      <c r="E457" s="447"/>
      <c r="F457" s="127"/>
      <c r="G457" s="128">
        <f>G461+G458+G464</f>
        <v>1000000</v>
      </c>
      <c r="H457" s="128">
        <f>H461+H458+H464</f>
        <v>1861000</v>
      </c>
      <c r="I457" s="128">
        <f>I461+I458+I464</f>
        <v>1792483</v>
      </c>
      <c r="J457" s="273">
        <f aca="true" t="shared" si="26" ref="J457:J465">I457/H457</f>
        <v>0.963182697474476</v>
      </c>
    </row>
    <row r="458" spans="1:10" ht="15.75" customHeight="1">
      <c r="A458" s="275"/>
      <c r="B458" s="93" t="s">
        <v>169</v>
      </c>
      <c r="C458" s="102"/>
      <c r="D458" s="437" t="s">
        <v>170</v>
      </c>
      <c r="E458" s="439"/>
      <c r="F458" s="127"/>
      <c r="G458" s="128">
        <f aca="true" t="shared" si="27" ref="G458:I459">G459</f>
        <v>400000</v>
      </c>
      <c r="H458" s="128">
        <f t="shared" si="27"/>
        <v>571000</v>
      </c>
      <c r="I458" s="128">
        <f t="shared" si="27"/>
        <v>570701</v>
      </c>
      <c r="J458" s="273">
        <f t="shared" si="26"/>
        <v>0.9994763572679509</v>
      </c>
    </row>
    <row r="459" spans="1:10" ht="15.75" customHeight="1">
      <c r="A459" s="272"/>
      <c r="B459" s="96"/>
      <c r="C459" s="96" t="s">
        <v>174</v>
      </c>
      <c r="D459" s="435" t="s">
        <v>175</v>
      </c>
      <c r="E459" s="436"/>
      <c r="F459" s="127"/>
      <c r="G459" s="111">
        <f t="shared" si="27"/>
        <v>400000</v>
      </c>
      <c r="H459" s="111">
        <f t="shared" si="27"/>
        <v>571000</v>
      </c>
      <c r="I459" s="111">
        <f t="shared" si="27"/>
        <v>570701</v>
      </c>
      <c r="J459" s="273">
        <f t="shared" si="26"/>
        <v>0.9994763572679509</v>
      </c>
    </row>
    <row r="460" spans="1:10" ht="15.75" customHeight="1">
      <c r="A460" s="270"/>
      <c r="B460" s="93"/>
      <c r="C460" s="93"/>
      <c r="D460" s="93"/>
      <c r="E460" s="98" t="s">
        <v>176</v>
      </c>
      <c r="F460" s="127"/>
      <c r="G460" s="111">
        <v>400000</v>
      </c>
      <c r="H460" s="111">
        <v>571000</v>
      </c>
      <c r="I460" s="111">
        <v>570701</v>
      </c>
      <c r="J460" s="273">
        <f t="shared" si="26"/>
        <v>0.9994763572679509</v>
      </c>
    </row>
    <row r="461" spans="1:10" ht="15.75" customHeight="1">
      <c r="A461" s="294"/>
      <c r="B461" s="127" t="s">
        <v>183</v>
      </c>
      <c r="C461" s="445" t="s">
        <v>184</v>
      </c>
      <c r="D461" s="446"/>
      <c r="E461" s="447"/>
      <c r="F461" s="127"/>
      <c r="G461" s="128">
        <f aca="true" t="shared" si="28" ref="G461:I462">G462</f>
        <v>400000</v>
      </c>
      <c r="H461" s="128">
        <f t="shared" si="28"/>
        <v>1040000</v>
      </c>
      <c r="I461" s="128">
        <f t="shared" si="28"/>
        <v>1037145</v>
      </c>
      <c r="J461" s="273">
        <f t="shared" si="26"/>
        <v>0.9972548076923077</v>
      </c>
    </row>
    <row r="462" spans="1:10" ht="15.75" customHeight="1">
      <c r="A462" s="294"/>
      <c r="B462" s="127"/>
      <c r="C462" s="129" t="s">
        <v>191</v>
      </c>
      <c r="D462" s="448" t="s">
        <v>192</v>
      </c>
      <c r="E462" s="449"/>
      <c r="F462" s="127"/>
      <c r="G462" s="111">
        <f t="shared" si="28"/>
        <v>400000</v>
      </c>
      <c r="H462" s="111">
        <f t="shared" si="28"/>
        <v>1040000</v>
      </c>
      <c r="I462" s="111">
        <f t="shared" si="28"/>
        <v>1037145</v>
      </c>
      <c r="J462" s="273">
        <f t="shared" si="26"/>
        <v>0.9972548076923077</v>
      </c>
    </row>
    <row r="463" spans="1:10" ht="15.75" customHeight="1">
      <c r="A463" s="294"/>
      <c r="B463" s="127"/>
      <c r="C463" s="127"/>
      <c r="D463" s="127"/>
      <c r="E463" s="129" t="s">
        <v>258</v>
      </c>
      <c r="F463" s="127"/>
      <c r="G463" s="111">
        <v>400000</v>
      </c>
      <c r="H463" s="111">
        <f>700000+340000</f>
        <v>1040000</v>
      </c>
      <c r="I463" s="111">
        <v>1037145</v>
      </c>
      <c r="J463" s="273">
        <f t="shared" si="26"/>
        <v>0.9972548076923077</v>
      </c>
    </row>
    <row r="464" spans="1:10" ht="15.75" customHeight="1">
      <c r="A464" s="294"/>
      <c r="B464" s="93" t="s">
        <v>197</v>
      </c>
      <c r="C464" s="102"/>
      <c r="D464" s="437" t="s">
        <v>198</v>
      </c>
      <c r="E464" s="439"/>
      <c r="F464" s="127"/>
      <c r="G464" s="128">
        <f>G465</f>
        <v>200000</v>
      </c>
      <c r="H464" s="128">
        <f>H465</f>
        <v>250000</v>
      </c>
      <c r="I464" s="128">
        <f>I465</f>
        <v>184637</v>
      </c>
      <c r="J464" s="273">
        <f t="shared" si="26"/>
        <v>0.738548</v>
      </c>
    </row>
    <row r="465" spans="1:10" ht="15.75" customHeight="1">
      <c r="A465" s="294"/>
      <c r="B465" s="96"/>
      <c r="C465" s="96" t="s">
        <v>199</v>
      </c>
      <c r="D465" s="435" t="s">
        <v>200</v>
      </c>
      <c r="E465" s="436"/>
      <c r="F465" s="127"/>
      <c r="G465" s="111">
        <v>200000</v>
      </c>
      <c r="H465" s="111">
        <v>250000</v>
      </c>
      <c r="I465" s="111">
        <v>184637</v>
      </c>
      <c r="J465" s="273">
        <f t="shared" si="26"/>
        <v>0.738548</v>
      </c>
    </row>
    <row r="466" spans="1:10" ht="15.75" customHeight="1">
      <c r="A466" s="272"/>
      <c r="B466" s="93"/>
      <c r="C466" s="96"/>
      <c r="D466" s="96"/>
      <c r="E466" s="96"/>
      <c r="F466" s="96"/>
      <c r="G466" s="110"/>
      <c r="H466" s="110"/>
      <c r="I466" s="110"/>
      <c r="J466" s="292"/>
    </row>
    <row r="467" spans="1:10" ht="15.75" customHeight="1">
      <c r="A467" s="384" t="s">
        <v>261</v>
      </c>
      <c r="B467" s="385"/>
      <c r="C467" s="385"/>
      <c r="D467" s="385"/>
      <c r="E467" s="386"/>
      <c r="F467" s="105"/>
      <c r="G467" s="109">
        <f>SUM(G475)</f>
        <v>5628000</v>
      </c>
      <c r="H467" s="109">
        <f>H468+H475</f>
        <v>7403500</v>
      </c>
      <c r="I467" s="109">
        <f>I468+I475</f>
        <v>6048019</v>
      </c>
      <c r="J467" s="269">
        <f>I467/H467</f>
        <v>0.816913486864321</v>
      </c>
    </row>
    <row r="468" spans="1:10" ht="15.75" customHeight="1">
      <c r="A468" s="270" t="s">
        <v>27</v>
      </c>
      <c r="B468" s="93"/>
      <c r="C468" s="437" t="s">
        <v>28</v>
      </c>
      <c r="D468" s="438"/>
      <c r="E468" s="439"/>
      <c r="F468" s="157"/>
      <c r="G468" s="147">
        <f>G469+G471+G473</f>
        <v>0</v>
      </c>
      <c r="H468" s="147">
        <f>H469+H471+H473</f>
        <v>1775500</v>
      </c>
      <c r="I468" s="147">
        <f>I469+I471+I473</f>
        <v>1774785</v>
      </c>
      <c r="J468" s="273">
        <f aca="true" t="shared" si="29" ref="J468:J477">I468/H468</f>
        <v>0.999597296536187</v>
      </c>
    </row>
    <row r="469" spans="1:10" ht="15.75" customHeight="1">
      <c r="A469" s="295"/>
      <c r="B469" s="93" t="s">
        <v>169</v>
      </c>
      <c r="C469" s="102"/>
      <c r="D469" s="437" t="s">
        <v>170</v>
      </c>
      <c r="E469" s="439"/>
      <c r="F469" s="157"/>
      <c r="G469" s="147">
        <f>SUM(G470)</f>
        <v>0</v>
      </c>
      <c r="H469" s="147">
        <f>SUM(H470)</f>
        <v>1104000</v>
      </c>
      <c r="I469" s="147">
        <f>SUM(I470)</f>
        <v>1104000</v>
      </c>
      <c r="J469" s="273">
        <f t="shared" si="29"/>
        <v>1</v>
      </c>
    </row>
    <row r="470" spans="1:10" ht="15.75" customHeight="1">
      <c r="A470" s="295"/>
      <c r="B470" s="179"/>
      <c r="C470" s="96" t="s">
        <v>174</v>
      </c>
      <c r="D470" s="435" t="s">
        <v>175</v>
      </c>
      <c r="E470" s="436"/>
      <c r="F470" s="157"/>
      <c r="G470" s="150">
        <v>0</v>
      </c>
      <c r="H470" s="150">
        <v>1104000</v>
      </c>
      <c r="I470" s="150">
        <v>1104000</v>
      </c>
      <c r="J470" s="273">
        <f t="shared" si="29"/>
        <v>1</v>
      </c>
    </row>
    <row r="471" spans="1:10" ht="15.75" customHeight="1">
      <c r="A471" s="295"/>
      <c r="B471" s="93" t="s">
        <v>183</v>
      </c>
      <c r="C471" s="102"/>
      <c r="D471" s="437" t="s">
        <v>184</v>
      </c>
      <c r="E471" s="439"/>
      <c r="F471" s="157"/>
      <c r="G471" s="147">
        <f>SUM(G472)</f>
        <v>0</v>
      </c>
      <c r="H471" s="147">
        <f>SUM(H472)</f>
        <v>307500</v>
      </c>
      <c r="I471" s="147">
        <f>SUM(I472)</f>
        <v>307500</v>
      </c>
      <c r="J471" s="273">
        <f t="shared" si="29"/>
        <v>1</v>
      </c>
    </row>
    <row r="472" spans="1:10" ht="15.75" customHeight="1">
      <c r="A472" s="295"/>
      <c r="B472" s="168"/>
      <c r="C472" s="96" t="s">
        <v>191</v>
      </c>
      <c r="D472" s="435" t="s">
        <v>192</v>
      </c>
      <c r="E472" s="436"/>
      <c r="F472" s="157"/>
      <c r="G472" s="150">
        <v>0</v>
      </c>
      <c r="H472" s="150">
        <v>307500</v>
      </c>
      <c r="I472" s="150">
        <v>307500</v>
      </c>
      <c r="J472" s="273">
        <f t="shared" si="29"/>
        <v>1</v>
      </c>
    </row>
    <row r="473" spans="1:10" ht="15.75" customHeight="1">
      <c r="A473" s="295"/>
      <c r="B473" s="93" t="s">
        <v>197</v>
      </c>
      <c r="C473" s="102"/>
      <c r="D473" s="437" t="s">
        <v>198</v>
      </c>
      <c r="E473" s="439"/>
      <c r="F473" s="157"/>
      <c r="G473" s="150">
        <f>SUM(G474)</f>
        <v>0</v>
      </c>
      <c r="H473" s="150">
        <f>SUM(H474)</f>
        <v>364000</v>
      </c>
      <c r="I473" s="150">
        <f>SUM(I474)</f>
        <v>363285</v>
      </c>
      <c r="J473" s="273">
        <f t="shared" si="29"/>
        <v>0.9980357142857142</v>
      </c>
    </row>
    <row r="474" spans="1:10" ht="15.75" customHeight="1">
      <c r="A474" s="295"/>
      <c r="B474" s="168"/>
      <c r="C474" s="96" t="s">
        <v>199</v>
      </c>
      <c r="D474" s="435" t="s">
        <v>200</v>
      </c>
      <c r="E474" s="436"/>
      <c r="F474" s="157"/>
      <c r="G474" s="150">
        <v>0</v>
      </c>
      <c r="H474" s="150">
        <v>364000</v>
      </c>
      <c r="I474" s="150">
        <v>363285</v>
      </c>
      <c r="J474" s="273">
        <f t="shared" si="29"/>
        <v>0.9980357142857142</v>
      </c>
    </row>
    <row r="475" spans="1:10" ht="15.75" customHeight="1">
      <c r="A475" s="270" t="s">
        <v>29</v>
      </c>
      <c r="B475" s="96"/>
      <c r="C475" s="437" t="s">
        <v>259</v>
      </c>
      <c r="D475" s="438"/>
      <c r="E475" s="439"/>
      <c r="F475" s="96"/>
      <c r="G475" s="112">
        <f>G476</f>
        <v>5628000</v>
      </c>
      <c r="H475" s="112">
        <f>H476</f>
        <v>5628000</v>
      </c>
      <c r="I475" s="112">
        <f>I476</f>
        <v>4273234</v>
      </c>
      <c r="J475" s="273">
        <f t="shared" si="29"/>
        <v>0.7592810945273631</v>
      </c>
    </row>
    <row r="476" spans="1:10" ht="15.75" customHeight="1">
      <c r="A476" s="272"/>
      <c r="B476" s="93" t="s">
        <v>262</v>
      </c>
      <c r="C476" s="93"/>
      <c r="D476" s="437" t="s">
        <v>263</v>
      </c>
      <c r="E476" s="439"/>
      <c r="F476" s="96"/>
      <c r="G476" s="112">
        <f>SUM(G477)</f>
        <v>5628000</v>
      </c>
      <c r="H476" s="112">
        <f>SUM(H477)</f>
        <v>5628000</v>
      </c>
      <c r="I476" s="112">
        <f>SUM(I477)</f>
        <v>4273234</v>
      </c>
      <c r="J476" s="273">
        <f t="shared" si="29"/>
        <v>0.7592810945273631</v>
      </c>
    </row>
    <row r="477" spans="1:10" ht="15.75" customHeight="1">
      <c r="A477" s="272"/>
      <c r="B477" s="93"/>
      <c r="C477" s="93"/>
      <c r="D477" s="93"/>
      <c r="E477" s="96" t="s">
        <v>264</v>
      </c>
      <c r="F477" s="96"/>
      <c r="G477" s="110">
        <v>5628000</v>
      </c>
      <c r="H477" s="110">
        <v>5628000</v>
      </c>
      <c r="I477" s="110">
        <v>4273234</v>
      </c>
      <c r="J477" s="273">
        <f t="shared" si="29"/>
        <v>0.7592810945273631</v>
      </c>
    </row>
    <row r="478" spans="1:10" ht="15.75" customHeight="1">
      <c r="A478" s="272"/>
      <c r="B478" s="96"/>
      <c r="C478" s="96"/>
      <c r="D478" s="96"/>
      <c r="E478" s="96"/>
      <c r="F478" s="96"/>
      <c r="G478" s="110"/>
      <c r="H478" s="110"/>
      <c r="I478" s="110"/>
      <c r="J478" s="292"/>
    </row>
    <row r="479" spans="1:10" ht="15.75" customHeight="1">
      <c r="A479" s="296"/>
      <c r="B479" s="105"/>
      <c r="C479" s="443" t="s">
        <v>265</v>
      </c>
      <c r="D479" s="385"/>
      <c r="E479" s="386"/>
      <c r="F479" s="114">
        <v>27</v>
      </c>
      <c r="G479" s="109">
        <f>G9+G73+G92+G110+G137+G176+G184+G202+G241+G263+G276+G309+G320+G324+G362+G370+G424+G467+G456+G106+G52+G101+G59+G410+G394+G126+G165</f>
        <v>617400069.7579999</v>
      </c>
      <c r="H479" s="109">
        <f>H9+H73+H92+H110+H137+H176+H184+H202+H241+H263+H276+H309+H320+H324+H362+H370+H424+H467+H456+H106+H52+H101+H59+H410+H394+H126+H165+H48</f>
        <v>655950691.315</v>
      </c>
      <c r="I479" s="109">
        <f>I9+I73+I92+I110+I137+I176+I184+I202+I241+I263+I276+I309+I320+I324+I362+I370+I424+I467+I456+I106+I52+I101+I59+I410+I394+I126+I165+I48</f>
        <v>560091933</v>
      </c>
      <c r="J479" s="269">
        <f>I479/H479</f>
        <v>0.8538628595347164</v>
      </c>
    </row>
    <row r="480" spans="1:10" ht="15.75" customHeight="1">
      <c r="A480" s="272"/>
      <c r="B480" s="96"/>
      <c r="C480" s="93"/>
      <c r="D480" s="93"/>
      <c r="E480" s="93"/>
      <c r="F480" s="130"/>
      <c r="G480" s="112"/>
      <c r="H480" s="112"/>
      <c r="I480" s="112"/>
      <c r="J480" s="297"/>
    </row>
    <row r="481" spans="1:10" ht="15.75" customHeight="1">
      <c r="A481" s="270" t="s">
        <v>23</v>
      </c>
      <c r="B481" s="93"/>
      <c r="C481" s="437" t="s">
        <v>150</v>
      </c>
      <c r="D481" s="438"/>
      <c r="E481" s="439"/>
      <c r="F481" s="96"/>
      <c r="G481" s="110">
        <f>G10+G74+G138+G185+G203+G277+G325+G371+G425+G395+G242</f>
        <v>111082375.6</v>
      </c>
      <c r="H481" s="110">
        <f>H10+H74+H138+H185+H203+H277+H325+H371+H425+H395+H242+H411</f>
        <v>107712353</v>
      </c>
      <c r="I481" s="110">
        <f>I10+I74+I138+I185+I203+I277+I325+I371+I425+I395+I242+I411</f>
        <v>101930059</v>
      </c>
      <c r="J481" s="273">
        <f aca="true" t="shared" si="30" ref="J481:J490">I481/H481</f>
        <v>0.9463172622363937</v>
      </c>
    </row>
    <row r="482" spans="1:10" ht="15.75" customHeight="1">
      <c r="A482" s="270" t="s">
        <v>25</v>
      </c>
      <c r="B482" s="93"/>
      <c r="C482" s="437" t="s">
        <v>166</v>
      </c>
      <c r="D482" s="438"/>
      <c r="E482" s="439"/>
      <c r="F482" s="96"/>
      <c r="G482" s="110">
        <f>G18+G79+G144+G190+G215+G286+G335+G377+G431+G398+G246</f>
        <v>17054142.158</v>
      </c>
      <c r="H482" s="110">
        <f>H18+H79+H144+H190+H215+H286+H335+H377+H431+H398+H246</f>
        <v>16956213.314999998</v>
      </c>
      <c r="I482" s="110">
        <f>I18+I79+I144+I190+I215+I286+I335+I377+I431+I398+I246</f>
        <v>14100949</v>
      </c>
      <c r="J482" s="273">
        <f t="shared" si="30"/>
        <v>0.8316095544472691</v>
      </c>
    </row>
    <row r="483" spans="1:10" ht="15.75" customHeight="1">
      <c r="A483" s="270" t="s">
        <v>27</v>
      </c>
      <c r="B483" s="93"/>
      <c r="C483" s="437" t="s">
        <v>28</v>
      </c>
      <c r="D483" s="438"/>
      <c r="E483" s="439"/>
      <c r="F483" s="96"/>
      <c r="G483" s="110">
        <f>G21+G82+G93+G111+G147+G177+G193+G218+G248+G264+G289+G310+G338+G363+G380+G434+G457+G127+G414+G400</f>
        <v>217356621</v>
      </c>
      <c r="H483" s="110">
        <f>H21+H82+H93+H111+H147+H177+H193+H218+H248+H264+H289+H310+H338+H363+H380+H434+H457+H127+H414+H400+H468</f>
        <v>211080879</v>
      </c>
      <c r="I483" s="110">
        <f>I21+I82+I93+I111+I147+I177+I193+I218+I248+I264+I289+I310+I338+I363+I380+I434+I457+I127+I414+I400+I468</f>
        <v>159855466</v>
      </c>
      <c r="J483" s="273">
        <f t="shared" si="30"/>
        <v>0.7573185537094528</v>
      </c>
    </row>
    <row r="484" spans="1:10" ht="15.75" customHeight="1">
      <c r="A484" s="270" t="s">
        <v>29</v>
      </c>
      <c r="B484" s="96"/>
      <c r="C484" s="437" t="s">
        <v>259</v>
      </c>
      <c r="D484" s="438"/>
      <c r="E484" s="439"/>
      <c r="F484" s="96"/>
      <c r="G484" s="110">
        <f>G476</f>
        <v>5628000</v>
      </c>
      <c r="H484" s="110">
        <f>H476</f>
        <v>5628000</v>
      </c>
      <c r="I484" s="110">
        <f>I476</f>
        <v>4273234</v>
      </c>
      <c r="J484" s="273">
        <f t="shared" si="30"/>
        <v>0.7592810945273631</v>
      </c>
    </row>
    <row r="485" spans="1:10" ht="15.75" customHeight="1">
      <c r="A485" s="270" t="s">
        <v>31</v>
      </c>
      <c r="B485" s="93"/>
      <c r="C485" s="437" t="s">
        <v>32</v>
      </c>
      <c r="D485" s="438"/>
      <c r="E485" s="439"/>
      <c r="F485" s="131"/>
      <c r="G485" s="110">
        <f>G37+G260+G273+G321+G102+G60+G107+G53</f>
        <v>101934653</v>
      </c>
      <c r="H485" s="110">
        <f>H37+H260+H273+H321+H102+H60+H107+H53+H49</f>
        <v>125815821</v>
      </c>
      <c r="I485" s="110">
        <f>I37+I260+I273+I321+I102+I60+I107+I53+I49</f>
        <v>93867039</v>
      </c>
      <c r="J485" s="273">
        <f t="shared" si="30"/>
        <v>0.7460670546353626</v>
      </c>
    </row>
    <row r="486" spans="1:10" ht="15.75" customHeight="1">
      <c r="A486" s="270" t="s">
        <v>34</v>
      </c>
      <c r="B486" s="93"/>
      <c r="C486" s="444" t="s">
        <v>35</v>
      </c>
      <c r="D486" s="444"/>
      <c r="E486" s="444"/>
      <c r="F486" s="96"/>
      <c r="G486" s="110">
        <f>G42+G354+G232+G451+G166</f>
        <v>74708526</v>
      </c>
      <c r="H486" s="110">
        <f>H42+H354+H232+H451+H166+H305+H119</f>
        <v>88139735</v>
      </c>
      <c r="I486" s="110">
        <f>I42+I354+I232+I451+I166+I305+I119</f>
        <v>85652177</v>
      </c>
      <c r="J486" s="273">
        <f t="shared" si="30"/>
        <v>0.9717771105166132</v>
      </c>
    </row>
    <row r="487" spans="1:10" ht="15.75" customHeight="1">
      <c r="A487" s="270" t="s">
        <v>36</v>
      </c>
      <c r="B487" s="93"/>
      <c r="C487" s="444" t="s">
        <v>266</v>
      </c>
      <c r="D487" s="444"/>
      <c r="E487" s="444"/>
      <c r="F487" s="96"/>
      <c r="G487" s="110">
        <f>G237+G358+G170+G122</f>
        <v>83165687</v>
      </c>
      <c r="H487" s="110">
        <f>H237+H358+H170+H122</f>
        <v>97147625</v>
      </c>
      <c r="I487" s="110">
        <f>I237+I358+I170+I122</f>
        <v>96942944</v>
      </c>
      <c r="J487" s="273">
        <f t="shared" si="30"/>
        <v>0.9978930931147313</v>
      </c>
    </row>
    <row r="488" spans="1:10" ht="15.75" customHeight="1">
      <c r="A488" s="270" t="s">
        <v>38</v>
      </c>
      <c r="B488" s="93"/>
      <c r="C488" s="437" t="s">
        <v>39</v>
      </c>
      <c r="D488" s="438"/>
      <c r="E488" s="439"/>
      <c r="F488" s="131"/>
      <c r="G488" s="110"/>
      <c r="H488" s="110"/>
      <c r="I488" s="110"/>
      <c r="J488" s="273"/>
    </row>
    <row r="489" spans="1:10" ht="15.75" customHeight="1">
      <c r="A489" s="270" t="s">
        <v>41</v>
      </c>
      <c r="B489" s="93"/>
      <c r="C489" s="437" t="s">
        <v>40</v>
      </c>
      <c r="D489" s="438"/>
      <c r="E489" s="439"/>
      <c r="F489" s="96"/>
      <c r="G489" s="110">
        <f>G55</f>
        <v>6470065</v>
      </c>
      <c r="H489" s="110">
        <f>H55</f>
        <v>3470065</v>
      </c>
      <c r="I489" s="110">
        <f>I55</f>
        <v>3470065</v>
      </c>
      <c r="J489" s="273">
        <f t="shared" si="30"/>
        <v>1</v>
      </c>
    </row>
    <row r="490" spans="1:10" ht="15.75" customHeight="1" thickBot="1">
      <c r="A490" s="298"/>
      <c r="B490" s="299"/>
      <c r="C490" s="440" t="s">
        <v>265</v>
      </c>
      <c r="D490" s="441"/>
      <c r="E490" s="442"/>
      <c r="F490" s="299"/>
      <c r="G490" s="300">
        <f>SUM(G481:G489)</f>
        <v>617400069.758</v>
      </c>
      <c r="H490" s="300">
        <f>SUM(H481:H489)</f>
        <v>655950691.315</v>
      </c>
      <c r="I490" s="300">
        <f>SUM(I481:I489)</f>
        <v>560091933</v>
      </c>
      <c r="J490" s="301">
        <f t="shared" si="30"/>
        <v>0.8538628595347164</v>
      </c>
    </row>
  </sheetData>
  <sheetProtection selectLockedCells="1" selectUnlockedCells="1"/>
  <mergeCells count="433">
    <mergeCell ref="C468:E468"/>
    <mergeCell ref="D469:E469"/>
    <mergeCell ref="D470:E470"/>
    <mergeCell ref="D471:E471"/>
    <mergeCell ref="D472:E472"/>
    <mergeCell ref="C277:E277"/>
    <mergeCell ref="D278:E278"/>
    <mergeCell ref="D279:E279"/>
    <mergeCell ref="D280:E280"/>
    <mergeCell ref="D283:E283"/>
    <mergeCell ref="D217:E217"/>
    <mergeCell ref="D209:E209"/>
    <mergeCell ref="D211:E211"/>
    <mergeCell ref="D212:E212"/>
    <mergeCell ref="D213:E213"/>
    <mergeCell ref="C215:E215"/>
    <mergeCell ref="D216:E216"/>
    <mergeCell ref="D210:E210"/>
    <mergeCell ref="D214:E214"/>
    <mergeCell ref="C203:E203"/>
    <mergeCell ref="D204:E204"/>
    <mergeCell ref="D205:E205"/>
    <mergeCell ref="D206:E206"/>
    <mergeCell ref="D207:E207"/>
    <mergeCell ref="D208:E208"/>
    <mergeCell ref="D196:E196"/>
    <mergeCell ref="D197:E197"/>
    <mergeCell ref="D198:E198"/>
    <mergeCell ref="D199:E199"/>
    <mergeCell ref="D200:E200"/>
    <mergeCell ref="A202:E202"/>
    <mergeCell ref="D195:E195"/>
    <mergeCell ref="A184:E184"/>
    <mergeCell ref="C185:E185"/>
    <mergeCell ref="D186:E186"/>
    <mergeCell ref="D187:E187"/>
    <mergeCell ref="D188:E188"/>
    <mergeCell ref="D181:E181"/>
    <mergeCell ref="D182:E182"/>
    <mergeCell ref="C190:E190"/>
    <mergeCell ref="D191:E191"/>
    <mergeCell ref="D192:E192"/>
    <mergeCell ref="D194:E194"/>
    <mergeCell ref="D172:E172"/>
    <mergeCell ref="D173:E173"/>
    <mergeCell ref="D174:E174"/>
    <mergeCell ref="C170:E170"/>
    <mergeCell ref="A176:E176"/>
    <mergeCell ref="D189:E189"/>
    <mergeCell ref="C177:E177"/>
    <mergeCell ref="D178:E178"/>
    <mergeCell ref="D179:E179"/>
    <mergeCell ref="D180:E180"/>
    <mergeCell ref="D161:E161"/>
    <mergeCell ref="D162:E162"/>
    <mergeCell ref="D163:E163"/>
    <mergeCell ref="A165:E165"/>
    <mergeCell ref="C166:E166"/>
    <mergeCell ref="D171:E171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C144:E144"/>
    <mergeCell ref="D145:E145"/>
    <mergeCell ref="D146:E146"/>
    <mergeCell ref="C147:E147"/>
    <mergeCell ref="D148:E148"/>
    <mergeCell ref="C138:E138"/>
    <mergeCell ref="A137:E137"/>
    <mergeCell ref="D139:E139"/>
    <mergeCell ref="D140:E140"/>
    <mergeCell ref="D141:E141"/>
    <mergeCell ref="D142:E142"/>
    <mergeCell ref="D130:E130"/>
    <mergeCell ref="D131:E131"/>
    <mergeCell ref="D132:E132"/>
    <mergeCell ref="D133:E133"/>
    <mergeCell ref="D134:E134"/>
    <mergeCell ref="D135:E135"/>
    <mergeCell ref="D123:E123"/>
    <mergeCell ref="D124:E124"/>
    <mergeCell ref="A126:E126"/>
    <mergeCell ref="C127:E127"/>
    <mergeCell ref="D128:E128"/>
    <mergeCell ref="D129:E129"/>
    <mergeCell ref="D112:E112"/>
    <mergeCell ref="D113:E113"/>
    <mergeCell ref="D114:E114"/>
    <mergeCell ref="D115:E115"/>
    <mergeCell ref="D117:E117"/>
    <mergeCell ref="D118:E118"/>
    <mergeCell ref="D116:E116"/>
    <mergeCell ref="D103:E103"/>
    <mergeCell ref="A106:E106"/>
    <mergeCell ref="C107:E107"/>
    <mergeCell ref="D108:E108"/>
    <mergeCell ref="A110:E110"/>
    <mergeCell ref="C111:E111"/>
    <mergeCell ref="D96:E96"/>
    <mergeCell ref="D97:E97"/>
    <mergeCell ref="D98:E98"/>
    <mergeCell ref="D99:E99"/>
    <mergeCell ref="A101:E101"/>
    <mergeCell ref="C102:E102"/>
    <mergeCell ref="D89:E89"/>
    <mergeCell ref="D90:E90"/>
    <mergeCell ref="A92:E92"/>
    <mergeCell ref="C93:E93"/>
    <mergeCell ref="D94:E94"/>
    <mergeCell ref="D95:E95"/>
    <mergeCell ref="D83:E83"/>
    <mergeCell ref="D84:E84"/>
    <mergeCell ref="D85:E85"/>
    <mergeCell ref="D86:E86"/>
    <mergeCell ref="D87:E87"/>
    <mergeCell ref="D88:E88"/>
    <mergeCell ref="D77:E77"/>
    <mergeCell ref="D78:E78"/>
    <mergeCell ref="C79:E79"/>
    <mergeCell ref="D80:E80"/>
    <mergeCell ref="D81:E81"/>
    <mergeCell ref="C82:E82"/>
    <mergeCell ref="D69:E69"/>
    <mergeCell ref="D70:E70"/>
    <mergeCell ref="A73:E73"/>
    <mergeCell ref="C74:E74"/>
    <mergeCell ref="D75:E75"/>
    <mergeCell ref="D76:E76"/>
    <mergeCell ref="D61:E61"/>
    <mergeCell ref="D66:E66"/>
    <mergeCell ref="D67:E67"/>
    <mergeCell ref="D68:E68"/>
    <mergeCell ref="D62:E62"/>
    <mergeCell ref="D64:E64"/>
    <mergeCell ref="D63:E63"/>
    <mergeCell ref="D65:E65"/>
    <mergeCell ref="A52:E52"/>
    <mergeCell ref="C53:E53"/>
    <mergeCell ref="C55:E55"/>
    <mergeCell ref="D50:E50"/>
    <mergeCell ref="A59:E59"/>
    <mergeCell ref="C60:E60"/>
    <mergeCell ref="C37:E37"/>
    <mergeCell ref="D38:E38"/>
    <mergeCell ref="D35:E35"/>
    <mergeCell ref="D41:E41"/>
    <mergeCell ref="A48:E48"/>
    <mergeCell ref="C49:E49"/>
    <mergeCell ref="D30:E30"/>
    <mergeCell ref="D31:E31"/>
    <mergeCell ref="D32:E32"/>
    <mergeCell ref="D33:E33"/>
    <mergeCell ref="D34:E34"/>
    <mergeCell ref="D36:E36"/>
    <mergeCell ref="D24:E24"/>
    <mergeCell ref="D25:E25"/>
    <mergeCell ref="D26:E26"/>
    <mergeCell ref="D27:E27"/>
    <mergeCell ref="D28:E28"/>
    <mergeCell ref="D29:E29"/>
    <mergeCell ref="C18:E18"/>
    <mergeCell ref="D19:E19"/>
    <mergeCell ref="D20:E20"/>
    <mergeCell ref="C21:E21"/>
    <mergeCell ref="D22:E22"/>
    <mergeCell ref="D23:E23"/>
    <mergeCell ref="A9:E9"/>
    <mergeCell ref="A2:G2"/>
    <mergeCell ref="C10:E10"/>
    <mergeCell ref="D11:E11"/>
    <mergeCell ref="D12:E12"/>
    <mergeCell ref="D17:E17"/>
    <mergeCell ref="D120:E120"/>
    <mergeCell ref="D121:E121"/>
    <mergeCell ref="C486:E486"/>
    <mergeCell ref="H7:H8"/>
    <mergeCell ref="A6:H6"/>
    <mergeCell ref="C218:E218"/>
    <mergeCell ref="D219:E219"/>
    <mergeCell ref="A7:E8"/>
    <mergeCell ref="F7:F8"/>
    <mergeCell ref="G7:G8"/>
    <mergeCell ref="D220:E220"/>
    <mergeCell ref="D221:E221"/>
    <mergeCell ref="D222:E222"/>
    <mergeCell ref="D223:E223"/>
    <mergeCell ref="D224:E224"/>
    <mergeCell ref="D225:E225"/>
    <mergeCell ref="D226:E226"/>
    <mergeCell ref="D228:E228"/>
    <mergeCell ref="D229:E229"/>
    <mergeCell ref="D230:E230"/>
    <mergeCell ref="D231:E231"/>
    <mergeCell ref="C232:E232"/>
    <mergeCell ref="D227:E227"/>
    <mergeCell ref="D233:E233"/>
    <mergeCell ref="D234:E234"/>
    <mergeCell ref="D235:E235"/>
    <mergeCell ref="D236:E236"/>
    <mergeCell ref="C237:E237"/>
    <mergeCell ref="D238:E238"/>
    <mergeCell ref="D239:E239"/>
    <mergeCell ref="A241:E241"/>
    <mergeCell ref="C242:E242"/>
    <mergeCell ref="D243:E243"/>
    <mergeCell ref="D244:E244"/>
    <mergeCell ref="C246:E246"/>
    <mergeCell ref="D245:E245"/>
    <mergeCell ref="D247:E247"/>
    <mergeCell ref="C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C260:E260"/>
    <mergeCell ref="D261:E261"/>
    <mergeCell ref="A263:E263"/>
    <mergeCell ref="C264:E264"/>
    <mergeCell ref="D265:E265"/>
    <mergeCell ref="D266:E266"/>
    <mergeCell ref="D267:E267"/>
    <mergeCell ref="D268:E268"/>
    <mergeCell ref="D269:E269"/>
    <mergeCell ref="D281:E281"/>
    <mergeCell ref="D282:E282"/>
    <mergeCell ref="A276:E276"/>
    <mergeCell ref="D284:E284"/>
    <mergeCell ref="D285:E285"/>
    <mergeCell ref="C286:E286"/>
    <mergeCell ref="D287:E287"/>
    <mergeCell ref="D288:E288"/>
    <mergeCell ref="C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C305:E305"/>
    <mergeCell ref="D304:E304"/>
    <mergeCell ref="D306:E306"/>
    <mergeCell ref="D307:E307"/>
    <mergeCell ref="A309:E309"/>
    <mergeCell ref="C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A320:E320"/>
    <mergeCell ref="C321:E321"/>
    <mergeCell ref="D322:E322"/>
    <mergeCell ref="A324:E324"/>
    <mergeCell ref="C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C335:E335"/>
    <mergeCell ref="D336:E336"/>
    <mergeCell ref="C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C354:E354"/>
    <mergeCell ref="D355:E355"/>
    <mergeCell ref="D356:E356"/>
    <mergeCell ref="D357:E357"/>
    <mergeCell ref="C358:E358"/>
    <mergeCell ref="D359:E359"/>
    <mergeCell ref="D360:E360"/>
    <mergeCell ref="A362:E362"/>
    <mergeCell ref="C363:E363"/>
    <mergeCell ref="D364:E364"/>
    <mergeCell ref="D365:E365"/>
    <mergeCell ref="D367:E367"/>
    <mergeCell ref="D368:E368"/>
    <mergeCell ref="A370:E370"/>
    <mergeCell ref="C371:E371"/>
    <mergeCell ref="D372:E372"/>
    <mergeCell ref="D373:E373"/>
    <mergeCell ref="D374:E374"/>
    <mergeCell ref="D375:E375"/>
    <mergeCell ref="D376:E376"/>
    <mergeCell ref="C377:E377"/>
    <mergeCell ref="D378:E378"/>
    <mergeCell ref="D379:E379"/>
    <mergeCell ref="C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A394:E394"/>
    <mergeCell ref="C395:E395"/>
    <mergeCell ref="D396:E396"/>
    <mergeCell ref="D397:E397"/>
    <mergeCell ref="C398:E398"/>
    <mergeCell ref="D399:E399"/>
    <mergeCell ref="C400:E400"/>
    <mergeCell ref="D401:E401"/>
    <mergeCell ref="D402:E402"/>
    <mergeCell ref="D403:E403"/>
    <mergeCell ref="D407:E407"/>
    <mergeCell ref="D408:E408"/>
    <mergeCell ref="D404:E404"/>
    <mergeCell ref="D405:E405"/>
    <mergeCell ref="D406:E406"/>
    <mergeCell ref="A410:E410"/>
    <mergeCell ref="C414:E414"/>
    <mergeCell ref="D415:E415"/>
    <mergeCell ref="D416:E416"/>
    <mergeCell ref="C417:E417"/>
    <mergeCell ref="D418:E418"/>
    <mergeCell ref="C411:E411"/>
    <mergeCell ref="D412:E412"/>
    <mergeCell ref="D413:E413"/>
    <mergeCell ref="D420:E420"/>
    <mergeCell ref="D421:E421"/>
    <mergeCell ref="D422:E422"/>
    <mergeCell ref="A424:E424"/>
    <mergeCell ref="C425:E425"/>
    <mergeCell ref="D426:E426"/>
    <mergeCell ref="D427:E427"/>
    <mergeCell ref="D428:E428"/>
    <mergeCell ref="D429:E429"/>
    <mergeCell ref="D430:E430"/>
    <mergeCell ref="C431:E431"/>
    <mergeCell ref="D432:E432"/>
    <mergeCell ref="D433:E433"/>
    <mergeCell ref="C434:E434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C451:E451"/>
    <mergeCell ref="D450:E450"/>
    <mergeCell ref="D452:E452"/>
    <mergeCell ref="D453:E453"/>
    <mergeCell ref="D454:E454"/>
    <mergeCell ref="A456:E456"/>
    <mergeCell ref="C457:E457"/>
    <mergeCell ref="D458:E458"/>
    <mergeCell ref="D459:E459"/>
    <mergeCell ref="C461:E461"/>
    <mergeCell ref="D462:E462"/>
    <mergeCell ref="D464:E464"/>
    <mergeCell ref="D465:E465"/>
    <mergeCell ref="A467:E467"/>
    <mergeCell ref="C475:E475"/>
    <mergeCell ref="D473:E473"/>
    <mergeCell ref="D474:E474"/>
    <mergeCell ref="C485:E485"/>
    <mergeCell ref="C488:E488"/>
    <mergeCell ref="C487:E487"/>
    <mergeCell ref="D419:E419"/>
    <mergeCell ref="D353:E353"/>
    <mergeCell ref="C489:E489"/>
    <mergeCell ref="C490:E490"/>
    <mergeCell ref="D476:E476"/>
    <mergeCell ref="C479:E479"/>
    <mergeCell ref="C481:E481"/>
    <mergeCell ref="C482:E482"/>
    <mergeCell ref="C483:E483"/>
    <mergeCell ref="C484:E484"/>
    <mergeCell ref="I7:I8"/>
    <mergeCell ref="J7:J8"/>
    <mergeCell ref="A3:J3"/>
    <mergeCell ref="A1:J1"/>
    <mergeCell ref="A4:J4"/>
    <mergeCell ref="A5:J5"/>
  </mergeCells>
  <printOptions headings="1"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6" r:id="rId1"/>
  <headerFooter alignWithMargins="0">
    <oddFooter>&amp;C&amp;P. oldal, összesen: &amp;N</oddFooter>
  </headerFooter>
  <rowBreaks count="5" manualBreakCount="5">
    <brk id="91" max="9" man="1"/>
    <brk id="175" max="9" man="1"/>
    <brk id="262" max="9" man="1"/>
    <brk id="323" max="9" man="1"/>
    <brk id="40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zoomScalePageLayoutView="0" workbookViewId="0" topLeftCell="A4">
      <selection activeCell="C41" sqref="C41"/>
    </sheetView>
  </sheetViews>
  <sheetFormatPr defaultColWidth="11.57421875" defaultRowHeight="12.75"/>
  <cols>
    <col min="1" max="1" width="42.7109375" style="0" customWidth="1"/>
    <col min="2" max="3" width="13.28125" style="0" customWidth="1"/>
    <col min="4" max="4" width="9.140625" style="0" customWidth="1"/>
    <col min="5" max="5" width="14.00390625" style="0" bestFit="1" customWidth="1"/>
    <col min="6" max="252" width="9.140625" style="0" customWidth="1"/>
  </cols>
  <sheetData>
    <row r="1" spans="1:5" ht="15.75">
      <c r="A1" s="419" t="s">
        <v>424</v>
      </c>
      <c r="B1" s="419"/>
      <c r="C1" s="419"/>
      <c r="D1" s="419"/>
      <c r="E1" s="419"/>
    </row>
    <row r="2" spans="1:5" ht="15.75">
      <c r="A2" s="339"/>
      <c r="B2" s="339"/>
      <c r="C2" s="339"/>
      <c r="D2" s="339"/>
      <c r="E2" s="339"/>
    </row>
    <row r="3" spans="1:5" ht="15.75">
      <c r="A3" s="357" t="s">
        <v>0</v>
      </c>
      <c r="B3" s="357"/>
      <c r="C3" s="357"/>
      <c r="D3" s="357"/>
      <c r="E3" s="357"/>
    </row>
    <row r="4" spans="1:5" ht="15.75">
      <c r="A4" s="357" t="s">
        <v>434</v>
      </c>
      <c r="B4" s="357"/>
      <c r="C4" s="357"/>
      <c r="D4" s="357"/>
      <c r="E4" s="357"/>
    </row>
    <row r="5" spans="1:5" ht="15.75">
      <c r="A5" s="357" t="s">
        <v>130</v>
      </c>
      <c r="B5" s="357"/>
      <c r="C5" s="357"/>
      <c r="D5" s="357"/>
      <c r="E5" s="357"/>
    </row>
    <row r="6" spans="1:5" ht="15.75">
      <c r="A6" s="53"/>
      <c r="B6" s="477" t="s">
        <v>146</v>
      </c>
      <c r="C6" s="477"/>
      <c r="D6" s="477"/>
      <c r="E6" s="477"/>
    </row>
    <row r="7" spans="1:5" ht="12.75" customHeight="1">
      <c r="A7" s="476" t="s">
        <v>132</v>
      </c>
      <c r="B7" s="423" t="s">
        <v>133</v>
      </c>
      <c r="C7" s="423" t="s">
        <v>134</v>
      </c>
      <c r="D7" s="423" t="s">
        <v>267</v>
      </c>
      <c r="E7" s="423" t="s">
        <v>136</v>
      </c>
    </row>
    <row r="8" spans="1:5" ht="12.75" customHeight="1">
      <c r="A8" s="476"/>
      <c r="B8" s="423"/>
      <c r="C8" s="423"/>
      <c r="D8" s="423"/>
      <c r="E8" s="423"/>
    </row>
    <row r="9" spans="1:5" ht="12.75" customHeight="1">
      <c r="A9" s="476"/>
      <c r="B9" s="423"/>
      <c r="C9" s="423"/>
      <c r="D9" s="423"/>
      <c r="E9" s="423"/>
    </row>
    <row r="10" spans="1:5" ht="15" customHeight="1">
      <c r="A10" s="476"/>
      <c r="B10" s="423"/>
      <c r="C10" s="423"/>
      <c r="D10" s="423"/>
      <c r="E10" s="423"/>
    </row>
    <row r="11" spans="1:5" ht="15.75">
      <c r="A11" s="61" t="s">
        <v>268</v>
      </c>
      <c r="B11" s="51">
        <f>'5.kiadás'!I9</f>
        <v>35432038</v>
      </c>
      <c r="C11" s="62"/>
      <c r="D11" s="51"/>
      <c r="E11" s="51">
        <f aca="true" t="shared" si="0" ref="E11:E46">SUM(B11:D11)</f>
        <v>35432038</v>
      </c>
    </row>
    <row r="12" spans="1:5" ht="15.75">
      <c r="A12" s="61" t="s">
        <v>269</v>
      </c>
      <c r="B12" s="51">
        <f>'5.kiadás'!I48</f>
        <v>449981</v>
      </c>
      <c r="C12" s="62"/>
      <c r="D12" s="51"/>
      <c r="E12" s="51">
        <f t="shared" si="0"/>
        <v>449981</v>
      </c>
    </row>
    <row r="13" spans="1:5" ht="15.75">
      <c r="A13" s="63" t="s">
        <v>208</v>
      </c>
      <c r="B13" s="48">
        <f>'5.kiadás'!I52</f>
        <v>6111679</v>
      </c>
      <c r="C13" s="62"/>
      <c r="D13" s="51"/>
      <c r="E13" s="51">
        <f t="shared" si="0"/>
        <v>6111679</v>
      </c>
    </row>
    <row r="14" spans="1:5" ht="15.75">
      <c r="A14" s="63" t="s">
        <v>270</v>
      </c>
      <c r="B14" s="48">
        <f>'5.kiadás'!I59</f>
        <v>77344578</v>
      </c>
      <c r="C14" s="62"/>
      <c r="D14" s="51"/>
      <c r="E14" s="51">
        <f t="shared" si="0"/>
        <v>77344578</v>
      </c>
    </row>
    <row r="15" spans="1:5" ht="15.75">
      <c r="A15" s="64" t="s">
        <v>139</v>
      </c>
      <c r="B15" s="48">
        <f>'5.kiadás'!I73</f>
        <v>2290656</v>
      </c>
      <c r="C15" s="51"/>
      <c r="D15" s="51"/>
      <c r="E15" s="51">
        <f t="shared" si="0"/>
        <v>2290656</v>
      </c>
    </row>
    <row r="16" spans="1:5" ht="15.75">
      <c r="A16" s="61" t="s">
        <v>271</v>
      </c>
      <c r="B16" s="48">
        <f>'5.kiadás'!I92</f>
        <v>39893075</v>
      </c>
      <c r="C16" s="51"/>
      <c r="D16" s="51"/>
      <c r="E16" s="51">
        <f t="shared" si="0"/>
        <v>39893075</v>
      </c>
    </row>
    <row r="17" spans="1:5" ht="15.75">
      <c r="A17" s="61" t="s">
        <v>272</v>
      </c>
      <c r="B17" s="48"/>
      <c r="C17" s="51">
        <f>'5.kiadás'!I101</f>
        <v>500000</v>
      </c>
      <c r="D17" s="51"/>
      <c r="E17" s="51">
        <f t="shared" si="0"/>
        <v>500000</v>
      </c>
    </row>
    <row r="18" spans="1:5" ht="15.75">
      <c r="A18" s="61" t="s">
        <v>273</v>
      </c>
      <c r="B18" s="48"/>
      <c r="C18" s="51">
        <f>'5.kiadás'!I106</f>
        <v>0</v>
      </c>
      <c r="D18" s="51"/>
      <c r="E18" s="51">
        <f t="shared" si="0"/>
        <v>0</v>
      </c>
    </row>
    <row r="19" spans="1:5" ht="15.75">
      <c r="A19" s="64" t="s">
        <v>103</v>
      </c>
      <c r="B19" s="48"/>
      <c r="C19" s="51"/>
      <c r="D19" s="51"/>
      <c r="E19" s="51">
        <f t="shared" si="0"/>
        <v>0</v>
      </c>
    </row>
    <row r="20" spans="1:5" ht="15.75">
      <c r="A20" s="64" t="s">
        <v>342</v>
      </c>
      <c r="B20" s="48"/>
      <c r="C20" s="51"/>
      <c r="D20" s="51"/>
      <c r="E20" s="51">
        <f t="shared" si="0"/>
        <v>0</v>
      </c>
    </row>
    <row r="21" spans="1:5" ht="15.75">
      <c r="A21" s="61" t="s">
        <v>233</v>
      </c>
      <c r="B21" s="48">
        <f>'5.kiadás'!I110</f>
        <v>9363110</v>
      </c>
      <c r="C21" s="51"/>
      <c r="D21" s="51"/>
      <c r="E21" s="51">
        <f t="shared" si="0"/>
        <v>9363110</v>
      </c>
    </row>
    <row r="22" spans="1:5" ht="15.75">
      <c r="A22" s="61" t="s">
        <v>319</v>
      </c>
      <c r="B22" s="48"/>
      <c r="C22" s="51">
        <f>'5.kiadás'!I126</f>
        <v>1634172</v>
      </c>
      <c r="D22" s="51"/>
      <c r="E22" s="51">
        <f t="shared" si="0"/>
        <v>1634172</v>
      </c>
    </row>
    <row r="23" spans="1:5" ht="15.75">
      <c r="A23" s="61" t="s">
        <v>104</v>
      </c>
      <c r="B23" s="62"/>
      <c r="C23" s="51">
        <f>'5.kiadás'!I137</f>
        <v>5045690</v>
      </c>
      <c r="D23" s="51"/>
      <c r="E23" s="51">
        <f t="shared" si="0"/>
        <v>5045690</v>
      </c>
    </row>
    <row r="24" spans="1:5" ht="15.75">
      <c r="A24" s="64" t="s">
        <v>274</v>
      </c>
      <c r="B24" s="48"/>
      <c r="C24" s="51"/>
      <c r="D24" s="51"/>
      <c r="E24" s="51">
        <f t="shared" si="0"/>
        <v>0</v>
      </c>
    </row>
    <row r="25" spans="1:5" ht="15.75">
      <c r="A25" s="64" t="s">
        <v>334</v>
      </c>
      <c r="B25" s="48"/>
      <c r="C25" s="51">
        <f>'5.kiadás'!I165</f>
        <v>18678675</v>
      </c>
      <c r="D25" s="51"/>
      <c r="E25" s="51">
        <f t="shared" si="0"/>
        <v>18678675</v>
      </c>
    </row>
    <row r="26" spans="1:5" ht="15.75">
      <c r="A26" s="64" t="s">
        <v>241</v>
      </c>
      <c r="B26" s="48">
        <f>'5.kiadás'!I176</f>
        <v>14512131</v>
      </c>
      <c r="C26" s="51"/>
      <c r="D26" s="51"/>
      <c r="E26" s="51">
        <f t="shared" si="0"/>
        <v>14512131</v>
      </c>
    </row>
    <row r="27" spans="1:5" ht="15.75">
      <c r="A27" s="64" t="s">
        <v>242</v>
      </c>
      <c r="B27" s="48">
        <f>'5.kiadás'!I184</f>
        <v>6578929</v>
      </c>
      <c r="C27" s="51"/>
      <c r="D27" s="51"/>
      <c r="E27" s="51">
        <f t="shared" si="0"/>
        <v>6578929</v>
      </c>
    </row>
    <row r="28" spans="1:5" ht="15.75">
      <c r="A28" s="61" t="s">
        <v>107</v>
      </c>
      <c r="B28" s="48">
        <f>'5.kiadás'!I202</f>
        <v>123347652</v>
      </c>
      <c r="C28" s="51"/>
      <c r="D28" s="51"/>
      <c r="E28" s="51">
        <f t="shared" si="0"/>
        <v>123347652</v>
      </c>
    </row>
    <row r="29" spans="1:5" ht="15.75">
      <c r="A29" s="64" t="s">
        <v>248</v>
      </c>
      <c r="B29" s="48">
        <f>'5.kiadás'!I241</f>
        <v>4211844</v>
      </c>
      <c r="C29" s="51"/>
      <c r="D29" s="51"/>
      <c r="E29" s="51">
        <f t="shared" si="0"/>
        <v>4211844</v>
      </c>
    </row>
    <row r="30" spans="1:5" ht="15.75">
      <c r="A30" s="64" t="s">
        <v>249</v>
      </c>
      <c r="B30" s="48"/>
      <c r="C30" s="51"/>
      <c r="D30" s="51"/>
      <c r="E30" s="51">
        <f t="shared" si="0"/>
        <v>0</v>
      </c>
    </row>
    <row r="31" spans="1:5" ht="15.75">
      <c r="A31" s="64" t="s">
        <v>108</v>
      </c>
      <c r="B31" s="48">
        <f>'5.kiadás'!I263</f>
        <v>3097800</v>
      </c>
      <c r="C31" s="51"/>
      <c r="D31" s="51"/>
      <c r="E31" s="51">
        <f t="shared" si="0"/>
        <v>3097800</v>
      </c>
    </row>
    <row r="32" spans="1:5" ht="15.75">
      <c r="A32" s="64" t="s">
        <v>109</v>
      </c>
      <c r="B32" s="48">
        <f>'5.kiadás'!I276</f>
        <v>9136195</v>
      </c>
      <c r="C32" s="51"/>
      <c r="D32" s="51"/>
      <c r="E32" s="51">
        <f t="shared" si="0"/>
        <v>9136195</v>
      </c>
    </row>
    <row r="33" spans="1:5" ht="15.75">
      <c r="A33" s="64" t="s">
        <v>275</v>
      </c>
      <c r="B33" s="62"/>
      <c r="C33" s="51">
        <f>'5.kiadás'!I309</f>
        <v>351686</v>
      </c>
      <c r="D33" s="51"/>
      <c r="E33" s="51">
        <f t="shared" si="0"/>
        <v>351686</v>
      </c>
    </row>
    <row r="34" spans="1:5" ht="15.75">
      <c r="A34" s="61" t="s">
        <v>276</v>
      </c>
      <c r="B34" s="62"/>
      <c r="C34" s="51">
        <f>'5.kiadás'!I320</f>
        <v>1000000</v>
      </c>
      <c r="D34" s="51"/>
      <c r="E34" s="51">
        <f t="shared" si="0"/>
        <v>1000000</v>
      </c>
    </row>
    <row r="35" spans="1:5" ht="15.75">
      <c r="A35" s="64" t="s">
        <v>110</v>
      </c>
      <c r="B35" s="62"/>
      <c r="C35" s="51">
        <f>'5.kiadás'!I324</f>
        <v>167994869</v>
      </c>
      <c r="D35" s="51"/>
      <c r="E35" s="51">
        <f t="shared" si="0"/>
        <v>167994869</v>
      </c>
    </row>
    <row r="36" spans="1:5" ht="15.75">
      <c r="A36" s="64" t="s">
        <v>256</v>
      </c>
      <c r="B36" s="62"/>
      <c r="C36" s="51">
        <f>'5.kiadás'!I362</f>
        <v>543597</v>
      </c>
      <c r="D36" s="51"/>
      <c r="E36" s="51">
        <f t="shared" si="0"/>
        <v>543597</v>
      </c>
    </row>
    <row r="37" spans="1:5" ht="15.75">
      <c r="A37" s="64" t="s">
        <v>112</v>
      </c>
      <c r="B37" s="62"/>
      <c r="C37" s="51">
        <f>'5.kiadás'!I370</f>
        <v>5567143</v>
      </c>
      <c r="D37" s="51"/>
      <c r="E37" s="51">
        <f t="shared" si="0"/>
        <v>5567143</v>
      </c>
    </row>
    <row r="38" spans="1:5" ht="15.75">
      <c r="A38" s="64" t="s">
        <v>312</v>
      </c>
      <c r="B38" s="62"/>
      <c r="C38" s="51">
        <f>'5.kiadás'!I394</f>
        <v>93516</v>
      </c>
      <c r="D38" s="51"/>
      <c r="E38" s="51">
        <f t="shared" si="0"/>
        <v>93516</v>
      </c>
    </row>
    <row r="39" spans="1:5" ht="15.75">
      <c r="A39" s="64" t="s">
        <v>313</v>
      </c>
      <c r="B39" s="62"/>
      <c r="C39" s="51">
        <f>'5.kiadás'!I410</f>
        <v>432832</v>
      </c>
      <c r="D39" s="51"/>
      <c r="E39" s="51">
        <f t="shared" si="0"/>
        <v>432832</v>
      </c>
    </row>
    <row r="40" spans="1:5" ht="15.75">
      <c r="A40" s="64" t="s">
        <v>145</v>
      </c>
      <c r="B40" s="62"/>
      <c r="C40" s="51">
        <f>'5.kiadás'!I424</f>
        <v>18639583</v>
      </c>
      <c r="D40" s="51"/>
      <c r="E40" s="51">
        <f t="shared" si="0"/>
        <v>18639583</v>
      </c>
    </row>
    <row r="41" spans="1:5" ht="15.75">
      <c r="A41" s="64" t="s">
        <v>277</v>
      </c>
      <c r="B41" s="62"/>
      <c r="C41" s="51">
        <f>'5.kiadás'!I456</f>
        <v>1792483</v>
      </c>
      <c r="D41" s="51"/>
      <c r="E41" s="51">
        <f t="shared" si="0"/>
        <v>1792483</v>
      </c>
    </row>
    <row r="42" spans="1:5" ht="15.75">
      <c r="A42" s="64" t="s">
        <v>278</v>
      </c>
      <c r="B42" s="48"/>
      <c r="C42" s="51">
        <v>0</v>
      </c>
      <c r="D42" s="51"/>
      <c r="E42" s="51">
        <f t="shared" si="0"/>
        <v>0</v>
      </c>
    </row>
    <row r="43" spans="1:5" ht="15.75">
      <c r="A43" s="64" t="s">
        <v>279</v>
      </c>
      <c r="B43" s="48">
        <v>0</v>
      </c>
      <c r="C43" s="51"/>
      <c r="D43" s="51"/>
      <c r="E43" s="51">
        <f t="shared" si="0"/>
        <v>0</v>
      </c>
    </row>
    <row r="44" spans="1:5" ht="15.75">
      <c r="A44" s="64" t="s">
        <v>280</v>
      </c>
      <c r="B44" s="48"/>
      <c r="C44" s="51">
        <v>0</v>
      </c>
      <c r="D44" s="51"/>
      <c r="E44" s="51">
        <f t="shared" si="0"/>
        <v>0</v>
      </c>
    </row>
    <row r="45" spans="1:5" ht="15.75">
      <c r="A45" s="64" t="s">
        <v>260</v>
      </c>
      <c r="B45" s="48"/>
      <c r="C45" s="51"/>
      <c r="D45" s="51"/>
      <c r="E45" s="51">
        <f t="shared" si="0"/>
        <v>0</v>
      </c>
    </row>
    <row r="46" spans="1:5" ht="15.75">
      <c r="A46" s="61" t="s">
        <v>261</v>
      </c>
      <c r="B46" s="48">
        <f>'5.kiadás'!I467</f>
        <v>6048019</v>
      </c>
      <c r="C46" s="51"/>
      <c r="D46" s="51"/>
      <c r="E46" s="51">
        <f t="shared" si="0"/>
        <v>6048019</v>
      </c>
    </row>
    <row r="47" spans="1:5" ht="15.75">
      <c r="A47" s="56" t="s">
        <v>265</v>
      </c>
      <c r="B47" s="62">
        <f>SUM(B11:B46)</f>
        <v>337817687</v>
      </c>
      <c r="C47" s="62">
        <f>SUM(C11:C46)</f>
        <v>222274246</v>
      </c>
      <c r="D47" s="62">
        <f>SUM(D11:D46)</f>
        <v>0</v>
      </c>
      <c r="E47" s="65">
        <f>SUM(B47:D47)</f>
        <v>560091933</v>
      </c>
    </row>
  </sheetData>
  <sheetProtection selectLockedCells="1" selectUnlockedCells="1"/>
  <mergeCells count="11">
    <mergeCell ref="B6:E6"/>
    <mergeCell ref="A7:A10"/>
    <mergeCell ref="B7:B10"/>
    <mergeCell ref="C7:C10"/>
    <mergeCell ref="D7:D10"/>
    <mergeCell ref="E7:E10"/>
    <mergeCell ref="A1:E1"/>
    <mergeCell ref="A2:E2"/>
    <mergeCell ref="A3:E3"/>
    <mergeCell ref="A4:E4"/>
    <mergeCell ref="A5:E5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60" zoomScalePageLayoutView="0" workbookViewId="0" topLeftCell="A4">
      <selection activeCell="J19" sqref="J19"/>
    </sheetView>
  </sheetViews>
  <sheetFormatPr defaultColWidth="11.57421875" defaultRowHeight="12.75"/>
  <cols>
    <col min="1" max="1" width="60.421875" style="0" customWidth="1"/>
    <col min="2" max="2" width="18.421875" style="0" customWidth="1"/>
    <col min="3" max="3" width="14.421875" style="0" customWidth="1"/>
    <col min="4" max="4" width="12.28125" style="0" customWidth="1"/>
    <col min="5" max="255" width="9.140625" style="0" customWidth="1"/>
  </cols>
  <sheetData>
    <row r="1" spans="1:5" ht="15.75">
      <c r="A1" s="434" t="s">
        <v>425</v>
      </c>
      <c r="B1" s="434"/>
      <c r="C1" s="434"/>
      <c r="D1" s="434"/>
      <c r="E1" s="434"/>
    </row>
    <row r="2" spans="1:2" ht="15.75">
      <c r="A2" s="339"/>
      <c r="B2" s="339"/>
    </row>
    <row r="3" spans="1:5" ht="15.75">
      <c r="A3" s="357" t="s">
        <v>0</v>
      </c>
      <c r="B3" s="357"/>
      <c r="C3" s="357"/>
      <c r="D3" s="357"/>
      <c r="E3" s="357"/>
    </row>
    <row r="4" spans="1:5" ht="15.75">
      <c r="A4" s="420" t="s">
        <v>435</v>
      </c>
      <c r="B4" s="420"/>
      <c r="C4" s="420"/>
      <c r="D4" s="420"/>
      <c r="E4" s="420"/>
    </row>
    <row r="5" spans="1:5" ht="15.75">
      <c r="A5" s="420" t="s">
        <v>43</v>
      </c>
      <c r="B5" s="420"/>
      <c r="C5" s="420"/>
      <c r="D5" s="420"/>
      <c r="E5" s="420"/>
    </row>
    <row r="6" spans="1:3" ht="16.5" thickBot="1">
      <c r="A6" s="434" t="s">
        <v>281</v>
      </c>
      <c r="B6" s="434"/>
      <c r="C6" s="434"/>
    </row>
    <row r="7" spans="1:5" ht="12.75" customHeight="1">
      <c r="A7" s="464" t="s">
        <v>282</v>
      </c>
      <c r="B7" s="462" t="s">
        <v>2</v>
      </c>
      <c r="C7" s="462" t="s">
        <v>392</v>
      </c>
      <c r="D7" s="462" t="s">
        <v>578</v>
      </c>
      <c r="E7" s="478" t="s">
        <v>428</v>
      </c>
    </row>
    <row r="8" spans="1:5" ht="21.75" customHeight="1">
      <c r="A8" s="466"/>
      <c r="B8" s="463"/>
      <c r="C8" s="463"/>
      <c r="D8" s="463"/>
      <c r="E8" s="479"/>
    </row>
    <row r="9" spans="1:5" ht="15.75">
      <c r="A9" s="316" t="s">
        <v>35</v>
      </c>
      <c r="B9" s="315"/>
      <c r="C9" s="315"/>
      <c r="D9" s="315"/>
      <c r="E9" s="317"/>
    </row>
    <row r="10" spans="1:5" ht="15.75">
      <c r="A10" s="318" t="s">
        <v>344</v>
      </c>
      <c r="B10" s="68">
        <f>'5.kiadás'!G233</f>
        <v>6613617</v>
      </c>
      <c r="C10" s="68">
        <f>'5.kiadás'!H233</f>
        <v>6763617</v>
      </c>
      <c r="D10" s="68">
        <f>'5.kiadás'!I233</f>
        <v>6763617</v>
      </c>
      <c r="E10" s="319">
        <f>D10/C10</f>
        <v>1</v>
      </c>
    </row>
    <row r="11" spans="1:5" ht="15.75">
      <c r="A11" s="318" t="s">
        <v>316</v>
      </c>
      <c r="B11" s="68">
        <f>'5.kiadás'!G45</f>
        <v>378000</v>
      </c>
      <c r="C11" s="68">
        <f>'5.kiadás'!H45</f>
        <v>378000</v>
      </c>
      <c r="D11" s="68">
        <f>'5.kiadás'!I45</f>
        <v>378000</v>
      </c>
      <c r="E11" s="319">
        <f aca="true" t="shared" si="0" ref="E11:E23">D11/C11</f>
        <v>1</v>
      </c>
    </row>
    <row r="12" spans="1:5" ht="15.75">
      <c r="A12" s="318" t="s">
        <v>335</v>
      </c>
      <c r="B12" s="68">
        <f>'5.kiadás'!G356</f>
        <v>46605450</v>
      </c>
      <c r="C12" s="68">
        <f>'5.kiadás'!H356</f>
        <v>52148998</v>
      </c>
      <c r="D12" s="68">
        <f>'5.kiadás'!I356</f>
        <v>52148998</v>
      </c>
      <c r="E12" s="319">
        <f t="shared" si="0"/>
        <v>1</v>
      </c>
    </row>
    <row r="13" spans="1:5" ht="15.75">
      <c r="A13" s="318" t="s">
        <v>360</v>
      </c>
      <c r="B13" s="68">
        <f>'5.kiadás'!G355</f>
        <v>5000000</v>
      </c>
      <c r="C13" s="68">
        <f>'5.kiadás'!H355</f>
        <v>3677373</v>
      </c>
      <c r="D13" s="68">
        <f>'5.kiadás'!I355</f>
        <v>3677373</v>
      </c>
      <c r="E13" s="319">
        <f t="shared" si="0"/>
        <v>1</v>
      </c>
    </row>
    <row r="14" spans="1:5" ht="15.75">
      <c r="A14" s="318" t="s">
        <v>366</v>
      </c>
      <c r="B14" s="68">
        <f>'5.kiadás'!G453</f>
        <v>31488</v>
      </c>
      <c r="C14" s="68">
        <f>'5.kiadás'!H453</f>
        <v>91488</v>
      </c>
      <c r="D14" s="68">
        <f>'5.kiadás'!I453</f>
        <v>90413</v>
      </c>
      <c r="E14" s="319">
        <f t="shared" si="0"/>
        <v>0.9882498251136761</v>
      </c>
    </row>
    <row r="15" spans="1:5" ht="15.75">
      <c r="A15" s="318" t="s">
        <v>373</v>
      </c>
      <c r="B15" s="68">
        <f>'5.kiadás'!G235</f>
        <v>50000</v>
      </c>
      <c r="C15" s="68">
        <f>'5.kiadás'!H235</f>
        <v>2986079</v>
      </c>
      <c r="D15" s="68">
        <f>'5.kiadás'!I235</f>
        <v>530396</v>
      </c>
      <c r="E15" s="319">
        <f t="shared" si="0"/>
        <v>0.1776228961122596</v>
      </c>
    </row>
    <row r="16" spans="1:5" ht="15.75">
      <c r="A16" s="318" t="s">
        <v>374</v>
      </c>
      <c r="B16" s="68">
        <f>'5.kiadás'!G234+'5.kiadás'!G452+'5.kiadás'!G43</f>
        <v>227400</v>
      </c>
      <c r="C16" s="68">
        <f>'5.kiadás'!H234+'5.kiadás'!H452+'5.kiadás'!H43</f>
        <v>250588</v>
      </c>
      <c r="D16" s="68">
        <f>'5.kiadás'!I234+'5.kiadás'!I452+'5.kiadás'!I43</f>
        <v>228604</v>
      </c>
      <c r="E16" s="319">
        <f t="shared" si="0"/>
        <v>0.9122703401599438</v>
      </c>
    </row>
    <row r="17" spans="1:5" ht="15.75">
      <c r="A17" s="318" t="s">
        <v>416</v>
      </c>
      <c r="B17" s="68"/>
      <c r="C17" s="68">
        <f>'5.kiadás'!H44</f>
        <v>179174</v>
      </c>
      <c r="D17" s="68">
        <f>'5.kiadás'!I44</f>
        <v>179174</v>
      </c>
      <c r="E17" s="319">
        <f t="shared" si="0"/>
        <v>1</v>
      </c>
    </row>
    <row r="18" spans="1:5" ht="15.75">
      <c r="A18" s="318" t="s">
        <v>386</v>
      </c>
      <c r="B18" s="68">
        <f>'5.kiadás'!G167</f>
        <v>0</v>
      </c>
      <c r="C18" s="68">
        <f>'5.kiadás'!H167</f>
        <v>750606</v>
      </c>
      <c r="D18" s="68">
        <f>'5.kiadás'!I167</f>
        <v>750606</v>
      </c>
      <c r="E18" s="319">
        <f t="shared" si="0"/>
        <v>1</v>
      </c>
    </row>
    <row r="19" spans="1:5" ht="31.5">
      <c r="A19" s="320" t="s">
        <v>387</v>
      </c>
      <c r="B19" s="68">
        <f>'5.kiadás'!G168</f>
        <v>0</v>
      </c>
      <c r="C19" s="68">
        <f>'5.kiadás'!H168</f>
        <v>2685370</v>
      </c>
      <c r="D19" s="68">
        <f>'5.kiadás'!I168</f>
        <v>2684762</v>
      </c>
      <c r="E19" s="319">
        <f t="shared" si="0"/>
        <v>0.9997735879971847</v>
      </c>
    </row>
    <row r="20" spans="1:5" ht="15.75">
      <c r="A20" s="320" t="s">
        <v>403</v>
      </c>
      <c r="B20" s="68">
        <f>'5.kiadás'!G169</f>
        <v>0</v>
      </c>
      <c r="C20" s="68">
        <f>'5.kiadás'!H120</f>
        <v>151880</v>
      </c>
      <c r="D20" s="68">
        <f>'5.kiadás'!I120</f>
        <v>151880</v>
      </c>
      <c r="E20" s="319">
        <f t="shared" si="0"/>
        <v>1</v>
      </c>
    </row>
    <row r="21" spans="1:5" ht="15.75">
      <c r="A21" s="320" t="s">
        <v>404</v>
      </c>
      <c r="B21" s="68">
        <v>0</v>
      </c>
      <c r="C21" s="68">
        <f>'5.kiadás'!H306</f>
        <v>7866</v>
      </c>
      <c r="D21" s="68">
        <f>'5.kiadás'!I306</f>
        <v>7866</v>
      </c>
      <c r="E21" s="319">
        <f t="shared" si="0"/>
        <v>1</v>
      </c>
    </row>
    <row r="22" spans="1:5" ht="15.75">
      <c r="A22" s="318" t="s">
        <v>283</v>
      </c>
      <c r="B22" s="68">
        <f>SUM(B10:B19)</f>
        <v>58905955</v>
      </c>
      <c r="C22" s="68">
        <f>SUM(C10:C21)</f>
        <v>70071039</v>
      </c>
      <c r="D22" s="68">
        <f>SUM(D10:D21)</f>
        <v>67591689</v>
      </c>
      <c r="E22" s="319">
        <f t="shared" si="0"/>
        <v>0.9646166228532732</v>
      </c>
    </row>
    <row r="23" spans="1:5" ht="15.75">
      <c r="A23" s="318" t="s">
        <v>284</v>
      </c>
      <c r="B23" s="68">
        <f>'5.kiadás'!G357+'5.kiadás'!G236+'5.kiadás'!G454+'5.kiadás'!G46+'5.kiadás'!G169</f>
        <v>15802571</v>
      </c>
      <c r="C23" s="68">
        <f>'5.kiadás'!H357+'5.kiadás'!H236+'5.kiadás'!H454+'5.kiadás'!H46+'5.kiadás'!H169+'5.kiadás'!H121+'5.kiadás'!H307</f>
        <v>18068696</v>
      </c>
      <c r="D23" s="68">
        <f>'5.kiadás'!I357+'5.kiadás'!I236+'5.kiadás'!I454+'5.kiadás'!I46+'5.kiadás'!I169+'5.kiadás'!I121+'5.kiadás'!I307</f>
        <v>18060488</v>
      </c>
      <c r="E23" s="319">
        <f t="shared" si="0"/>
        <v>0.999545733682165</v>
      </c>
    </row>
    <row r="24" spans="1:5" ht="15.75">
      <c r="A24" s="321" t="s">
        <v>285</v>
      </c>
      <c r="B24" s="69">
        <f>SUM(B22:B23)</f>
        <v>74708526</v>
      </c>
      <c r="C24" s="69">
        <f>SUM(C22:C23)</f>
        <v>88139735</v>
      </c>
      <c r="D24" s="69">
        <f>SUM(D22:D23)</f>
        <v>85652177</v>
      </c>
      <c r="E24" s="322">
        <f>D24/C24</f>
        <v>0.9717771105166132</v>
      </c>
    </row>
    <row r="25" spans="1:5" ht="15.75">
      <c r="A25" s="318"/>
      <c r="B25" s="68"/>
      <c r="C25" s="68"/>
      <c r="D25" s="68"/>
      <c r="E25" s="323"/>
    </row>
    <row r="26" spans="1:5" ht="15.75">
      <c r="A26" s="324" t="s">
        <v>286</v>
      </c>
      <c r="B26" s="70">
        <f>B22+B23</f>
        <v>74708526</v>
      </c>
      <c r="C26" s="70">
        <f>C22+C23</f>
        <v>88139735</v>
      </c>
      <c r="D26" s="70">
        <f>D22+D23</f>
        <v>85652177</v>
      </c>
      <c r="E26" s="325">
        <f>D26/C26</f>
        <v>0.9717771105166132</v>
      </c>
    </row>
    <row r="27" spans="1:5" ht="15.75">
      <c r="A27" s="318"/>
      <c r="B27" s="68"/>
      <c r="C27" s="68"/>
      <c r="D27" s="68"/>
      <c r="E27" s="323"/>
    </row>
    <row r="28" spans="1:5" ht="15.75">
      <c r="A28" s="326" t="s">
        <v>37</v>
      </c>
      <c r="B28" s="68"/>
      <c r="C28" s="68"/>
      <c r="D28" s="68"/>
      <c r="E28" s="323"/>
    </row>
    <row r="29" spans="1:5" ht="15.75">
      <c r="A29" s="318" t="s">
        <v>356</v>
      </c>
      <c r="B29" s="68">
        <v>3345100</v>
      </c>
      <c r="C29" s="68">
        <f>'5.kiadás'!H171</f>
        <v>3793053</v>
      </c>
      <c r="D29" s="68">
        <f>'5.kiadás'!I171</f>
        <v>3793050</v>
      </c>
      <c r="E29" s="319">
        <f aca="true" t="shared" si="1" ref="E29:E37">D29/C29</f>
        <v>0.9999992090803899</v>
      </c>
    </row>
    <row r="30" spans="1:5" ht="15.75">
      <c r="A30" s="318" t="s">
        <v>377</v>
      </c>
      <c r="B30" s="68">
        <v>4459953</v>
      </c>
      <c r="C30" s="68">
        <f>'5.kiadás'!H172</f>
        <v>0</v>
      </c>
      <c r="D30" s="68">
        <f>'5.kiadás'!I172</f>
        <v>0</v>
      </c>
      <c r="E30" s="319"/>
    </row>
    <row r="31" spans="1:5" ht="15.75">
      <c r="A31" s="318" t="s">
        <v>383</v>
      </c>
      <c r="B31" s="68">
        <f>'5.kiadás'!G173</f>
        <v>0</v>
      </c>
      <c r="C31" s="68">
        <f>'5.kiadás'!H173</f>
        <v>7480050</v>
      </c>
      <c r="D31" s="68">
        <f>'5.kiadás'!I173</f>
        <v>7479200</v>
      </c>
      <c r="E31" s="319">
        <f t="shared" si="1"/>
        <v>0.9998863643959599</v>
      </c>
    </row>
    <row r="32" spans="1:5" ht="15.75">
      <c r="A32" s="320" t="s">
        <v>359</v>
      </c>
      <c r="B32" s="68">
        <f>'5.kiadás'!G359</f>
        <v>33601550</v>
      </c>
      <c r="C32" s="68">
        <f>'5.kiadás'!H359</f>
        <v>29149681</v>
      </c>
      <c r="D32" s="68">
        <f>'5.kiadás'!I359</f>
        <v>29149681</v>
      </c>
      <c r="E32" s="319">
        <f t="shared" si="1"/>
        <v>1</v>
      </c>
    </row>
    <row r="33" spans="1:5" ht="15.75">
      <c r="A33" s="327" t="s">
        <v>345</v>
      </c>
      <c r="B33" s="68">
        <v>26678300</v>
      </c>
      <c r="C33" s="68">
        <v>27258300</v>
      </c>
      <c r="D33" s="68">
        <v>27258301</v>
      </c>
      <c r="E33" s="319">
        <f t="shared" si="1"/>
        <v>1.0000000366860735</v>
      </c>
    </row>
    <row r="34" spans="1:5" ht="15.75">
      <c r="A34" s="327" t="s">
        <v>372</v>
      </c>
      <c r="B34" s="68">
        <v>1860000</v>
      </c>
      <c r="C34" s="68">
        <f>1860000+850000</f>
        <v>2710000</v>
      </c>
      <c r="D34" s="68">
        <f>1860000+850000</f>
        <v>2710000</v>
      </c>
      <c r="E34" s="319">
        <f t="shared" si="1"/>
        <v>1</v>
      </c>
    </row>
    <row r="35" spans="1:5" ht="15.75">
      <c r="A35" s="327" t="s">
        <v>389</v>
      </c>
      <c r="B35" s="68">
        <f>'5.kiadás'!G123</f>
        <v>0</v>
      </c>
      <c r="C35" s="68">
        <f>'5.kiadás'!H123</f>
        <v>6285200</v>
      </c>
      <c r="D35" s="68">
        <f>'5.kiadás'!I123</f>
        <v>6123500</v>
      </c>
      <c r="E35" s="319">
        <f t="shared" si="1"/>
        <v>0.97427289505505</v>
      </c>
    </row>
    <row r="36" spans="1:5" ht="15.75">
      <c r="A36" s="318" t="s">
        <v>287</v>
      </c>
      <c r="B36" s="68">
        <f>SUM(B29:B34)</f>
        <v>69944903</v>
      </c>
      <c r="C36" s="68">
        <f>SUM(C29:C35)</f>
        <v>76676284</v>
      </c>
      <c r="D36" s="68">
        <f>SUM(D29:D35)</f>
        <v>76513732</v>
      </c>
      <c r="E36" s="319">
        <f t="shared" si="1"/>
        <v>0.9978800224590957</v>
      </c>
    </row>
    <row r="37" spans="1:5" ht="15.75">
      <c r="A37" s="318" t="s">
        <v>288</v>
      </c>
      <c r="B37" s="68">
        <f>'5.kiadás'!G239+'5.kiadás'!G360+'5.kiadás'!G174+'5.kiadás'!G124</f>
        <v>17680737</v>
      </c>
      <c r="C37" s="68">
        <f>'5.kiadás'!H239+'5.kiadás'!H360+'5.kiadás'!H174+'5.kiadás'!H124</f>
        <v>20471341</v>
      </c>
      <c r="D37" s="68">
        <f>'5.kiadás'!I239+'5.kiadás'!I360+'5.kiadás'!I174+'5.kiadás'!I124</f>
        <v>20429213</v>
      </c>
      <c r="E37" s="319">
        <f t="shared" si="1"/>
        <v>0.9979420986636879</v>
      </c>
    </row>
    <row r="38" spans="1:5" ht="15.75">
      <c r="A38" s="324" t="s">
        <v>289</v>
      </c>
      <c r="B38" s="70">
        <f>SUM(B36:B37)</f>
        <v>87625640</v>
      </c>
      <c r="C38" s="70">
        <f>SUM(C36:C37)</f>
        <v>97147625</v>
      </c>
      <c r="D38" s="70">
        <f>SUM(D36:D37)</f>
        <v>96942945</v>
      </c>
      <c r="E38" s="325">
        <f>D38/C38</f>
        <v>0.9978931034083437</v>
      </c>
    </row>
    <row r="39" spans="1:5" ht="15.75">
      <c r="A39" s="318"/>
      <c r="B39" s="68"/>
      <c r="C39" s="68"/>
      <c r="D39" s="68"/>
      <c r="E39" s="323"/>
    </row>
    <row r="40" spans="1:5" ht="15.75">
      <c r="A40" s="324" t="s">
        <v>290</v>
      </c>
      <c r="B40" s="70">
        <f>B26+B38</f>
        <v>162334166</v>
      </c>
      <c r="C40" s="70">
        <f>C26+C38</f>
        <v>185287360</v>
      </c>
      <c r="D40" s="70">
        <f>D26+D38</f>
        <v>182595122</v>
      </c>
      <c r="E40" s="325">
        <f>D40/C40</f>
        <v>0.9854699316780162</v>
      </c>
    </row>
    <row r="41" spans="1:5" ht="16.5" thickBot="1">
      <c r="A41" s="328" t="s">
        <v>291</v>
      </c>
      <c r="B41" s="329">
        <f>B24+B38</f>
        <v>162334166</v>
      </c>
      <c r="C41" s="329">
        <f>C24+C38</f>
        <v>185287360</v>
      </c>
      <c r="D41" s="329">
        <f>D24+D38</f>
        <v>182595122</v>
      </c>
      <c r="E41" s="330">
        <f>D41/C41</f>
        <v>0.9854699316780162</v>
      </c>
    </row>
  </sheetData>
  <sheetProtection selectLockedCells="1" selectUnlockedCells="1"/>
  <mergeCells count="11">
    <mergeCell ref="A3:E3"/>
    <mergeCell ref="A1:E1"/>
    <mergeCell ref="A4:E4"/>
    <mergeCell ref="A5:E5"/>
    <mergeCell ref="C7:C8"/>
    <mergeCell ref="A7:A8"/>
    <mergeCell ref="B7:B8"/>
    <mergeCell ref="A2:B2"/>
    <mergeCell ref="A6:C6"/>
    <mergeCell ref="D7:D8"/>
    <mergeCell ref="E7:E8"/>
  </mergeCells>
  <printOptions headings="1"/>
  <pageMargins left="0.7" right="0.7" top="0.75" bottom="0.75" header="0.5118055555555555" footer="0.5118055555555555"/>
  <pageSetup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7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2.75"/>
  <cols>
    <col min="1" max="1" width="4.57421875" style="1" customWidth="1"/>
    <col min="2" max="2" width="33.140625" style="1" customWidth="1"/>
    <col min="3" max="3" width="13.7109375" style="1" customWidth="1"/>
    <col min="4" max="4" width="13.57421875" style="1" customWidth="1"/>
    <col min="5" max="5" width="15.421875" style="1" customWidth="1"/>
    <col min="6" max="253" width="9.140625" style="1" customWidth="1"/>
  </cols>
  <sheetData>
    <row r="1" spans="1:5" ht="15.75">
      <c r="A1" s="485" t="s">
        <v>426</v>
      </c>
      <c r="B1" s="485"/>
      <c r="C1" s="485"/>
      <c r="D1" s="485"/>
      <c r="E1" s="485"/>
    </row>
    <row r="2" spans="1:4" ht="15.75">
      <c r="A2" s="343"/>
      <c r="B2" s="343"/>
      <c r="C2" s="343"/>
      <c r="D2" s="343"/>
    </row>
    <row r="3" spans="1:5" ht="15.75">
      <c r="A3" s="486" t="s">
        <v>0</v>
      </c>
      <c r="B3" s="486"/>
      <c r="C3" s="486"/>
      <c r="D3" s="486"/>
      <c r="E3" s="486"/>
    </row>
    <row r="4" spans="1:5" ht="15.75">
      <c r="A4" s="487" t="s">
        <v>437</v>
      </c>
      <c r="B4" s="487"/>
      <c r="C4" s="487"/>
      <c r="D4" s="487"/>
      <c r="E4" s="487"/>
    </row>
    <row r="5" spans="2:4" ht="15.75">
      <c r="B5" s="487"/>
      <c r="C5" s="487"/>
      <c r="D5" s="487"/>
    </row>
    <row r="6" spans="2:4" ht="15.75">
      <c r="B6" s="73"/>
      <c r="C6" s="72"/>
      <c r="D6" s="72" t="s">
        <v>281</v>
      </c>
    </row>
    <row r="7" spans="1:253" ht="15.75" customHeight="1">
      <c r="A7" s="480" t="s">
        <v>1</v>
      </c>
      <c r="B7" s="480"/>
      <c r="C7" s="481" t="s">
        <v>367</v>
      </c>
      <c r="D7" s="482" t="s">
        <v>368</v>
      </c>
      <c r="E7" s="483" t="s">
        <v>429</v>
      </c>
      <c r="IS7"/>
    </row>
    <row r="8" spans="1:253" ht="15.75">
      <c r="A8" s="480"/>
      <c r="B8" s="480"/>
      <c r="C8" s="481"/>
      <c r="D8" s="482"/>
      <c r="E8" s="484" t="s">
        <v>292</v>
      </c>
      <c r="IS8"/>
    </row>
    <row r="9" spans="1:253" ht="15.75">
      <c r="A9" s="66" t="s">
        <v>4</v>
      </c>
      <c r="B9" s="67" t="s">
        <v>293</v>
      </c>
      <c r="C9" s="132">
        <v>132815242</v>
      </c>
      <c r="D9" s="132">
        <v>121423656</v>
      </c>
      <c r="E9" s="144">
        <f>'1.Mérleg'!E10</f>
        <v>123201054</v>
      </c>
      <c r="IS9"/>
    </row>
    <row r="10" spans="1:253" ht="15.75">
      <c r="A10" s="66" t="s">
        <v>6</v>
      </c>
      <c r="B10" s="67" t="s">
        <v>7</v>
      </c>
      <c r="C10" s="132">
        <v>155322687</v>
      </c>
      <c r="D10" s="132">
        <v>105066920</v>
      </c>
      <c r="E10" s="144">
        <f>'1.Mérleg'!E11</f>
        <v>138797062</v>
      </c>
      <c r="IS10"/>
    </row>
    <row r="11" spans="1:253" ht="15.75">
      <c r="A11" s="66" t="s">
        <v>8</v>
      </c>
      <c r="B11" s="67" t="s">
        <v>9</v>
      </c>
      <c r="C11" s="132">
        <v>142101998</v>
      </c>
      <c r="D11" s="132">
        <v>168858675</v>
      </c>
      <c r="E11" s="144">
        <f>'1.Mérleg'!E12</f>
        <v>189486595</v>
      </c>
      <c r="IS11"/>
    </row>
    <row r="12" spans="1:253" ht="15.75">
      <c r="A12" s="66" t="s">
        <v>10</v>
      </c>
      <c r="B12" s="67" t="s">
        <v>11</v>
      </c>
      <c r="C12" s="85">
        <v>640717</v>
      </c>
      <c r="D12" s="85">
        <v>1625125</v>
      </c>
      <c r="E12" s="144">
        <f>'1.Mérleg'!E13</f>
        <v>60002</v>
      </c>
      <c r="IS12"/>
    </row>
    <row r="13" spans="1:253" ht="15.75">
      <c r="A13" s="67"/>
      <c r="B13" s="66" t="s">
        <v>294</v>
      </c>
      <c r="C13" s="135">
        <f>SUM(C9:C12)</f>
        <v>430880644</v>
      </c>
      <c r="D13" s="136">
        <f>SUM(D9:D12)</f>
        <v>396974376</v>
      </c>
      <c r="E13" s="133">
        <f>SUM(E9:E12)</f>
        <v>451544713</v>
      </c>
      <c r="IS13"/>
    </row>
    <row r="14" spans="1:253" ht="15.75">
      <c r="A14" s="20"/>
      <c r="B14" s="20"/>
      <c r="C14" s="20"/>
      <c r="D14" s="20"/>
      <c r="E14" s="20"/>
      <c r="IS14"/>
    </row>
    <row r="15" spans="1:253" ht="15.75">
      <c r="A15" s="20"/>
      <c r="B15" s="20"/>
      <c r="C15" s="20"/>
      <c r="D15" s="20"/>
      <c r="E15" s="20"/>
      <c r="IS15"/>
    </row>
    <row r="16" spans="1:253" ht="15.75">
      <c r="A16" s="66" t="s">
        <v>23</v>
      </c>
      <c r="B16" s="47" t="s">
        <v>150</v>
      </c>
      <c r="C16" s="137">
        <v>94323829</v>
      </c>
      <c r="D16" s="137">
        <v>103513680</v>
      </c>
      <c r="E16" s="145">
        <f>'1.Mérleg'!E27</f>
        <v>101930059</v>
      </c>
      <c r="IS16"/>
    </row>
    <row r="17" spans="1:253" ht="15.75">
      <c r="A17" s="66" t="s">
        <v>25</v>
      </c>
      <c r="B17" s="47" t="s">
        <v>295</v>
      </c>
      <c r="C17" s="85">
        <v>17849626</v>
      </c>
      <c r="D17" s="85">
        <v>17160783</v>
      </c>
      <c r="E17" s="145">
        <f>'1.Mérleg'!E28</f>
        <v>14100949</v>
      </c>
      <c r="IS17"/>
    </row>
    <row r="18" spans="1:253" ht="15.75">
      <c r="A18" s="66" t="s">
        <v>27</v>
      </c>
      <c r="B18" s="47" t="s">
        <v>28</v>
      </c>
      <c r="C18" s="85">
        <v>150764875</v>
      </c>
      <c r="D18" s="85">
        <v>112176163</v>
      </c>
      <c r="E18" s="145">
        <f>'1.Mérleg'!E29</f>
        <v>159855466</v>
      </c>
      <c r="IS18"/>
    </row>
    <row r="19" spans="1:253" ht="15.75">
      <c r="A19" s="75" t="s">
        <v>29</v>
      </c>
      <c r="B19" s="47" t="s">
        <v>259</v>
      </c>
      <c r="C19" s="85">
        <v>4213100</v>
      </c>
      <c r="D19" s="85">
        <v>5243200</v>
      </c>
      <c r="E19" s="145">
        <f>'1.Mérleg'!E30</f>
        <v>4273234</v>
      </c>
      <c r="IS19"/>
    </row>
    <row r="20" spans="1:253" ht="15.75">
      <c r="A20" s="75" t="s">
        <v>31</v>
      </c>
      <c r="B20" s="47" t="s">
        <v>32</v>
      </c>
      <c r="C20" s="85">
        <v>91606903</v>
      </c>
      <c r="D20" s="85">
        <v>83557126</v>
      </c>
      <c r="E20" s="145">
        <f>'1.Mérleg'!E31</f>
        <v>93867039</v>
      </c>
      <c r="IS20"/>
    </row>
    <row r="21" spans="1:253" ht="15.75">
      <c r="A21" s="66"/>
      <c r="B21" s="76" t="s">
        <v>296</v>
      </c>
      <c r="C21" s="74">
        <f>SUM(C16:C20)</f>
        <v>358758333</v>
      </c>
      <c r="D21" s="86">
        <f>SUM(D16:D20)</f>
        <v>321650952</v>
      </c>
      <c r="E21" s="88">
        <f>SUM(E16:E20)</f>
        <v>374026747</v>
      </c>
      <c r="IS21"/>
    </row>
    <row r="22" spans="1:253" ht="15.75">
      <c r="A22" s="77"/>
      <c r="B22" s="20"/>
      <c r="C22" s="20"/>
      <c r="D22" s="20"/>
      <c r="E22" s="134"/>
      <c r="IS22"/>
    </row>
    <row r="23" spans="1:253" ht="15.75">
      <c r="A23" s="78" t="s">
        <v>20</v>
      </c>
      <c r="B23" s="79" t="s">
        <v>19</v>
      </c>
      <c r="C23" s="85">
        <v>209125604</v>
      </c>
      <c r="D23" s="85">
        <v>107603332</v>
      </c>
      <c r="E23" s="145">
        <f>'1.Mérleg'!E21</f>
        <v>178595971</v>
      </c>
      <c r="IS23"/>
    </row>
    <row r="24" spans="1:253" ht="15.75">
      <c r="A24" s="80"/>
      <c r="B24" s="81" t="s">
        <v>297</v>
      </c>
      <c r="C24" s="74">
        <f>SUM(C23)</f>
        <v>209125604</v>
      </c>
      <c r="D24" s="86">
        <f>SUM(D23)</f>
        <v>107603332</v>
      </c>
      <c r="E24" s="88">
        <f>SUM(E23)</f>
        <v>178595971</v>
      </c>
      <c r="IS24"/>
    </row>
    <row r="25" spans="5:253" ht="15.75">
      <c r="E25" s="134"/>
      <c r="IS25"/>
    </row>
    <row r="26" spans="1:253" ht="15.75">
      <c r="A26" s="82" t="s">
        <v>41</v>
      </c>
      <c r="B26" s="67" t="s">
        <v>40</v>
      </c>
      <c r="C26" s="85">
        <v>5762819</v>
      </c>
      <c r="D26" s="85">
        <v>7322450</v>
      </c>
      <c r="E26" s="145">
        <f>'1.Mérleg'!E39</f>
        <v>3470065</v>
      </c>
      <c r="IS26"/>
    </row>
    <row r="27" spans="1:253" ht="15.75">
      <c r="A27" s="67"/>
      <c r="B27" s="66" t="s">
        <v>298</v>
      </c>
      <c r="C27" s="74">
        <f>SUM(C26)</f>
        <v>5762819</v>
      </c>
      <c r="D27" s="86">
        <f>SUM(D26)</f>
        <v>7322450</v>
      </c>
      <c r="E27" s="88">
        <f>SUM(E26)</f>
        <v>3470065</v>
      </c>
      <c r="IS27"/>
    </row>
  </sheetData>
  <sheetProtection selectLockedCells="1" selectUnlockedCells="1"/>
  <mergeCells count="9">
    <mergeCell ref="A7:B8"/>
    <mergeCell ref="C7:C8"/>
    <mergeCell ref="D7:D8"/>
    <mergeCell ref="E7:E8"/>
    <mergeCell ref="A1:E1"/>
    <mergeCell ref="A3:E3"/>
    <mergeCell ref="A4:E4"/>
    <mergeCell ref="A2:D2"/>
    <mergeCell ref="B5:D5"/>
  </mergeCells>
  <printOptions headings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3"/>
  <sheetViews>
    <sheetView view="pageBreakPreview" zoomScale="60" zoomScalePageLayoutView="0" workbookViewId="0" topLeftCell="A1">
      <selection activeCell="V33" sqref="V33"/>
    </sheetView>
  </sheetViews>
  <sheetFormatPr defaultColWidth="9.140625" defaultRowHeight="12.75"/>
  <cols>
    <col min="1" max="1" width="4.28125" style="1" customWidth="1"/>
    <col min="2" max="2" width="39.7109375" style="1" customWidth="1"/>
    <col min="3" max="3" width="13.57421875" style="1" customWidth="1"/>
    <col min="4" max="4" width="14.57421875" style="1" customWidth="1"/>
    <col min="5" max="5" width="14.00390625" style="1" customWidth="1"/>
    <col min="6" max="253" width="9.140625" style="1" customWidth="1"/>
  </cols>
  <sheetData>
    <row r="1" spans="1:5" ht="15.75" customHeight="1">
      <c r="A1" s="485" t="s">
        <v>427</v>
      </c>
      <c r="B1" s="485"/>
      <c r="C1" s="485"/>
      <c r="D1" s="485"/>
      <c r="E1" s="485"/>
    </row>
    <row r="2" spans="1:4" ht="15.75" customHeight="1">
      <c r="A2" s="492"/>
      <c r="B2" s="492"/>
      <c r="C2" s="492"/>
      <c r="D2" s="492"/>
    </row>
    <row r="3" spans="1:5" ht="15.75" customHeight="1">
      <c r="A3" s="486" t="s">
        <v>0</v>
      </c>
      <c r="B3" s="486"/>
      <c r="C3" s="486"/>
      <c r="D3" s="486"/>
      <c r="E3" s="486"/>
    </row>
    <row r="4" spans="1:5" ht="15.75" customHeight="1">
      <c r="A4" s="487" t="s">
        <v>436</v>
      </c>
      <c r="B4" s="487"/>
      <c r="C4" s="487"/>
      <c r="D4" s="487"/>
      <c r="E4" s="487"/>
    </row>
    <row r="5" spans="2:4" ht="15.75" customHeight="1">
      <c r="B5" s="487"/>
      <c r="C5" s="487"/>
      <c r="D5" s="487"/>
    </row>
    <row r="6" spans="2:4" ht="15.75" customHeight="1">
      <c r="B6" s="73"/>
      <c r="C6" s="71"/>
      <c r="D6" s="71"/>
    </row>
    <row r="7" spans="1:253" ht="15.75" customHeight="1">
      <c r="A7" s="488" t="s">
        <v>1</v>
      </c>
      <c r="B7" s="488"/>
      <c r="C7" s="489" t="s">
        <v>369</v>
      </c>
      <c r="D7" s="490" t="s">
        <v>370</v>
      </c>
      <c r="E7" s="491" t="s">
        <v>430</v>
      </c>
      <c r="IS7"/>
    </row>
    <row r="8" spans="1:253" ht="15.75" customHeight="1">
      <c r="A8" s="488"/>
      <c r="B8" s="488"/>
      <c r="C8" s="489"/>
      <c r="D8" s="490"/>
      <c r="E8" s="491"/>
      <c r="IS8"/>
    </row>
    <row r="9" spans="1:253" ht="15.75" customHeight="1">
      <c r="A9" s="66" t="s">
        <v>13</v>
      </c>
      <c r="B9" s="67" t="s">
        <v>299</v>
      </c>
      <c r="C9" s="85">
        <v>51456743</v>
      </c>
      <c r="D9" s="85">
        <v>41374828</v>
      </c>
      <c r="E9" s="146">
        <f>'1.Mérleg'!E16</f>
        <v>25353881</v>
      </c>
      <c r="IS9"/>
    </row>
    <row r="10" spans="1:253" ht="15.75" customHeight="1">
      <c r="A10" s="66" t="s">
        <v>15</v>
      </c>
      <c r="B10" s="67" t="s">
        <v>16</v>
      </c>
      <c r="C10" s="85">
        <v>598146</v>
      </c>
      <c r="D10" s="85">
        <v>598140</v>
      </c>
      <c r="E10" s="146">
        <f>'1.Mérleg'!E17</f>
        <v>587550</v>
      </c>
      <c r="IS10"/>
    </row>
    <row r="11" spans="1:253" ht="15.75" customHeight="1">
      <c r="A11" s="66" t="s">
        <v>17</v>
      </c>
      <c r="B11" s="67" t="s">
        <v>18</v>
      </c>
      <c r="C11" s="85">
        <v>842624</v>
      </c>
      <c r="D11" s="85">
        <v>143326250</v>
      </c>
      <c r="E11" s="146">
        <f>'1.Mérleg'!E18</f>
        <v>280670</v>
      </c>
      <c r="IS11"/>
    </row>
    <row r="12" spans="1:253" ht="15.75" customHeight="1">
      <c r="A12" s="138"/>
      <c r="B12" s="138" t="s">
        <v>300</v>
      </c>
      <c r="C12" s="135">
        <f>SUM(C9:C11)</f>
        <v>52897513</v>
      </c>
      <c r="D12" s="136">
        <f>SUM(D9:D11)</f>
        <v>185299218</v>
      </c>
      <c r="E12" s="88">
        <f>SUM(E9:E11)</f>
        <v>26222101</v>
      </c>
      <c r="IS12"/>
    </row>
    <row r="13" spans="1:253" ht="15.75" customHeight="1">
      <c r="A13" s="83"/>
      <c r="IS13"/>
    </row>
    <row r="14" spans="1:253" ht="15.75" customHeight="1">
      <c r="A14" s="83"/>
      <c r="IS14"/>
    </row>
    <row r="15" spans="1:253" ht="15.75" customHeight="1">
      <c r="A15" s="66" t="s">
        <v>34</v>
      </c>
      <c r="B15" s="47" t="s">
        <v>35</v>
      </c>
      <c r="C15" s="85">
        <v>49315836</v>
      </c>
      <c r="D15" s="85">
        <v>76712625</v>
      </c>
      <c r="E15" s="145">
        <f>'1.Mérleg'!E34</f>
        <v>85652177</v>
      </c>
      <c r="IS15"/>
    </row>
    <row r="16" spans="1:253" ht="15.75" customHeight="1">
      <c r="A16" s="66" t="s">
        <v>36</v>
      </c>
      <c r="B16" s="47" t="s">
        <v>37</v>
      </c>
      <c r="C16" s="85">
        <v>55757418</v>
      </c>
      <c r="D16" s="85">
        <v>107450595</v>
      </c>
      <c r="E16" s="145">
        <f>'1.Mérleg'!E35</f>
        <v>96942944</v>
      </c>
      <c r="IS16"/>
    </row>
    <row r="17" spans="1:253" ht="15.75" customHeight="1">
      <c r="A17" s="66" t="s">
        <v>38</v>
      </c>
      <c r="B17" s="47" t="s">
        <v>39</v>
      </c>
      <c r="C17" s="85"/>
      <c r="D17" s="85">
        <v>0</v>
      </c>
      <c r="E17" s="145">
        <f>'1.Mérleg'!D36</f>
        <v>0</v>
      </c>
      <c r="IS17"/>
    </row>
    <row r="18" spans="1:253" ht="15.75" customHeight="1">
      <c r="A18" s="67"/>
      <c r="B18" s="66" t="s">
        <v>301</v>
      </c>
      <c r="C18" s="74">
        <f>SUM(C15:C17)</f>
        <v>105073254</v>
      </c>
      <c r="D18" s="86">
        <f>SUM(D15:D17)</f>
        <v>184163220</v>
      </c>
      <c r="E18" s="88">
        <f>SUM(E15:E17)</f>
        <v>182595121</v>
      </c>
      <c r="IS18"/>
    </row>
    <row r="19" ht="15.75" customHeight="1">
      <c r="IS19"/>
    </row>
    <row r="20" spans="2:253" ht="15.75" customHeight="1">
      <c r="B20" s="83"/>
      <c r="IS20"/>
    </row>
    <row r="21" spans="1:253" ht="15.75" customHeight="1">
      <c r="A21" s="66"/>
      <c r="B21" s="66" t="s">
        <v>113</v>
      </c>
      <c r="C21" s="74">
        <f>'8.Tájékoztató műk'!C13+'9.Tájékoztató felhalm.'!C12+'8.Tájékoztató műk'!C24</f>
        <v>692903761</v>
      </c>
      <c r="D21" s="74">
        <f>'8.Tájékoztató műk'!D13+'9.Tájékoztató felhalm.'!D12+'8.Tájékoztató műk'!D24</f>
        <v>689876926</v>
      </c>
      <c r="E21" s="74">
        <f>'8.Tájékoztató műk'!E13+'9.Tájékoztató felhalm.'!E12+'8.Tájékoztató műk'!E24</f>
        <v>656362785</v>
      </c>
      <c r="IS21"/>
    </row>
    <row r="22" spans="1:253" ht="15.75" customHeight="1">
      <c r="A22" s="83"/>
      <c r="B22" s="83"/>
      <c r="C22" s="84"/>
      <c r="D22" s="84"/>
      <c r="IS22"/>
    </row>
    <row r="23" spans="1:253" ht="15.75" customHeight="1">
      <c r="A23" s="66"/>
      <c r="B23" s="66" t="s">
        <v>265</v>
      </c>
      <c r="C23" s="74">
        <f>C18+'8.Tájékoztató műk'!C21+'8.Tájékoztató műk'!C27</f>
        <v>469594406</v>
      </c>
      <c r="D23" s="74">
        <f>D18+'8.Tájékoztató műk'!D21+'8.Tájékoztató műk'!D27</f>
        <v>513136622</v>
      </c>
      <c r="E23" s="74">
        <f>E18+'8.Tájékoztató műk'!E21+'8.Tájékoztató műk'!E27</f>
        <v>560091933</v>
      </c>
      <c r="IS23"/>
    </row>
  </sheetData>
  <sheetProtection selectLockedCells="1" selectUnlockedCells="1"/>
  <mergeCells count="9">
    <mergeCell ref="A7:B8"/>
    <mergeCell ref="C7:C8"/>
    <mergeCell ref="D7:D8"/>
    <mergeCell ref="E7:E8"/>
    <mergeCell ref="A1:E1"/>
    <mergeCell ref="A3:E3"/>
    <mergeCell ref="A4:E4"/>
    <mergeCell ref="A2:D2"/>
    <mergeCell ref="B5:D5"/>
  </mergeCells>
  <printOptions headings="1"/>
  <pageMargins left="0.7083333333333334" right="0.7083333333333334" top="0.7138888888888889" bottom="0.7479166666666667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SzaboTimea</cp:lastModifiedBy>
  <cp:lastPrinted>2022-04-22T11:16:24Z</cp:lastPrinted>
  <dcterms:created xsi:type="dcterms:W3CDTF">2018-02-05T07:13:48Z</dcterms:created>
  <dcterms:modified xsi:type="dcterms:W3CDTF">2022-04-25T06:41:40Z</dcterms:modified>
  <cp:category/>
  <cp:version/>
  <cp:contentType/>
  <cp:contentStatus/>
</cp:coreProperties>
</file>